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Petunjuk" sheetId="1" state="visible" r:id="rId3"/>
    <sheet name="Lembar Ronde" sheetId="2" state="visible" r:id="rId4"/>
    <sheet name="Hasil per Sistem" sheetId="3" state="visible" r:id="rId5"/>
    <sheet name="Tindak Lanjut" sheetId="4" state="visible" r:id="rId6"/>
    <sheet name="Rekap Tren" sheetId="5" state="visible" r:id="rId7"/>
    <sheet name="Acuan ICRA" sheetId="6" state="visible" r:id="rId8"/>
    <sheet name="Rujukan" sheetId="7" state="visible" r:id="rId9"/>
  </sheets>
  <definedNames>
    <definedName function="false" hidden="false" localSheetId="1" name="_xlnm.Print_Area" vbProcedure="false">'Lembar Ronde'!$A$1:$H$103</definedName>
    <definedName function="false" hidden="false" localSheetId="1" name="_xlnm.Print_Titles" vbProcedure="false">'Lembar Ronde'!$26:$26</definedName>
    <definedName function="false" hidden="false" localSheetId="0" name="_xlnm.Print_Area" vbProcedure="false">Petunjuk!$B$1:$F$49</definedName>
    <definedName function="false" hidden="false" localSheetId="3" name="_xlnm.Print_Titles" vbProcedure="false">'Tindak Lanjut'!$5:$5</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C11" authorId="0">
      <text>
        <r>
          <rPr>
            <sz val="10"/>
            <rFont val="Arial"/>
            <family val="2"/>
          </rPr>
          <t xml:space="preserve">Terisi otomatis dari matriks di sheet Acuan ICRA setelah Tipe kegiatan dan Kelompok risiko pasien dipilih.</t>
        </r>
      </text>
    </comment>
  </commentList>
</comments>
</file>

<file path=xl/sharedStrings.xml><?xml version="1.0" encoding="utf-8"?>
<sst xmlns="http://schemas.openxmlformats.org/spreadsheetml/2006/main" count="438" uniqueCount="337">
  <si>
    <t xml:space="preserve">ALAT RONDE LINGKUNGAN — INFEKSI PADA SISTEM BANGUNAN</t>
  </si>
  <si>
    <t xml:space="preserve">Infeksi: invasi dan pertumbuhan kuman di dalam sistem bangunan</t>
  </si>
  <si>
    <t xml:space="preserve">Gagasan dasar</t>
  </si>
  <si>
    <t xml:space="preserve">Tim fasilitas sudah terlatih menangani risiko kebakaran dan keselamatan jiwa, tetapi jarang punya bahasa untuk risiko infeksi. Alat ini memakai logika perawatan pasien: periksa tanda vital bangunan, telusuri sistem per sistem, tegakkan diagnosis, lalu tulis rencana terapi dengan tenggat dan penanggung jawab.</t>
  </si>
  <si>
    <t xml:space="preserve">Urutan pemakaian</t>
  </si>
  <si>
    <t xml:space="preserve">1</t>
  </si>
  <si>
    <t xml:space="preserve">Isi identitas kunjungan di sheet Lembar Ronde. Setelah Tipe kegiatan dan Kelompok risiko pasien dipilih, Kelas kewaspadaan terisi otomatis dari matriks di sheet Acuan ICRA.</t>
  </si>
  <si>
    <t xml:space="preserve">2</t>
  </si>
  <si>
    <t xml:space="preserve">Ukur enam tanda vital bangunan di titik yang sama setiap ronde. Kolom Status berubah sendiri. Bila alat ukur tidak ada, kosongkan nilainya dan catat metode pengganti di kolom Temuan sistem terkait.</t>
  </si>
  <si>
    <t xml:space="preserve">3</t>
  </si>
  <si>
    <t xml:space="preserve">Telusuri 50 butir pada tujuh sistem. Pilih Sesuai, Tidak, atau N/A pada kolom Nilai. Setiap jawaban Tidak wajib diisi lokasi persisnya di kolom Temuan.</t>
  </si>
  <si>
    <t xml:space="preserve">4</t>
  </si>
  <si>
    <t xml:space="preserve">Baca panel hasil di kanan atas. Skor, diagnosis, dan keputusan lanjut atau hentikan pekerjaan dihitung otomatis.</t>
  </si>
  <si>
    <t xml:space="preserve">5</t>
  </si>
  <si>
    <t xml:space="preserve">Buka sheet Tindak Lanjut. Seluruh temuan sudah tersalin beserta tenggatnya. Isi penanggung jawab dan status.</t>
  </si>
  <si>
    <t xml:space="preserve">6</t>
  </si>
  <si>
    <t xml:space="preserve">Salin baris hasil ke sheet Rekap Tren sebagai nilai, lalu simpan berkas dengan nama baru per ronde. Grafik tren terisi sendiri.</t>
  </si>
  <si>
    <t xml:space="preserve">Cara membaca warna sel</t>
  </si>
  <si>
    <t xml:space="preserve">Isian pengguna</t>
  </si>
  <si>
    <t xml:space="preserve">Latar kuning muda, angka biru. Hanya sel-sel inilah yang boleh diketik.</t>
  </si>
  <si>
    <t xml:space="preserve">Sel rumus</t>
  </si>
  <si>
    <t xml:space="preserve">Latar putih, teks hitam. Terhitung sendiri; jangan ditimpa.</t>
  </si>
  <si>
    <t xml:space="preserve">Butir tidak sesuai</t>
  </si>
  <si>
    <t xml:space="preserve">Muncul setelah kolom Nilai diisi Tidak. Otomatis masuk sheet Tindak Lanjut.</t>
  </si>
  <si>
    <t xml:space="preserve">Butir sesuai</t>
  </si>
  <si>
    <t xml:space="preserve">Tidak perlu tindakan.</t>
  </si>
  <si>
    <t xml:space="preserve">Butir N/A</t>
  </si>
  <si>
    <t xml:space="preserve">Dikeluarkan dari perhitungan skor, bukan dinilai nol.</t>
  </si>
  <si>
    <t xml:space="preserve">Bobot dan tenggat baku</t>
  </si>
  <si>
    <t xml:space="preserve">Bobot</t>
  </si>
  <si>
    <t xml:space="preserve">Poin</t>
  </si>
  <si>
    <t xml:space="preserve">Tenggat penutupan</t>
  </si>
  <si>
    <t xml:space="preserve">Arti</t>
  </si>
  <si>
    <t xml:space="preserve">Kritis</t>
  </si>
  <si>
    <t xml:space="preserve">1 hari</t>
  </si>
  <si>
    <t xml:space="preserve">Kegagalan yang secara langsung memaparkan pasien pada debu, air, atau aerosol.</t>
  </si>
  <si>
    <t xml:space="preserve">Mayor</t>
  </si>
  <si>
    <t xml:space="preserve">3 hari</t>
  </si>
  <si>
    <t xml:space="preserve">Kendali ada tetapi tidak utuh atau tidak terdokumentasi.</t>
  </si>
  <si>
    <t xml:space="preserve">Minor</t>
  </si>
  <si>
    <t xml:space="preserve">7 hari</t>
  </si>
  <si>
    <t xml:space="preserve">Praktik baik yang memperkuat kendali utama.</t>
  </si>
  <si>
    <t xml:space="preserve">Ambang diagnosis dan keputusan</t>
  </si>
  <si>
    <t xml:space="preserve">Kondisi</t>
  </si>
  <si>
    <t xml:space="preserve">Diagnosis</t>
  </si>
  <si>
    <t xml:space="preserve">Keputusan</t>
  </si>
  <si>
    <t xml:space="preserve">Skor ≥ 95 % tanpa kegagalan kritis, seluruh tanda vital dalam rentang</t>
  </si>
  <si>
    <t xml:space="preserve">Terkendali</t>
  </si>
  <si>
    <t xml:space="preserve">Pekerjaan lanjut. Pertahankan frekuensi ronde sesuai kelas.</t>
  </si>
  <si>
    <t xml:space="preserve">Skor &lt; 95 % atau ada tanda vital di luar rentang</t>
  </si>
  <si>
    <t xml:space="preserve">Terkolonisasi</t>
  </si>
  <si>
    <t xml:space="preserve">Lanjut dengan pengawasan. Ronde ulang dalam 3 hari.</t>
  </si>
  <si>
    <t xml:space="preserve">Satu kegagalan kritis, atau skor &lt; 85 %</t>
  </si>
  <si>
    <t xml:space="preserve">Infeksi lokal</t>
  </si>
  <si>
    <t xml:space="preserve">Hentikan bagian pekerjaan yang terdampak. Tutup temuan kritis dalam 24 jam lalu verifikasi.</t>
  </si>
  <si>
    <t xml:space="preserve">Dua kegagalan kritis atau lebih, atau skor &lt; 70 %</t>
  </si>
  <si>
    <t xml:space="preserve">Infeksi sistemik</t>
  </si>
  <si>
    <t xml:space="preserve">Hentikan seluruh pekerjaan. Amankan zona, perbaiki, ronde ulang sebelum dilanjutkan.</t>
  </si>
  <si>
    <t xml:space="preserve">Contoh pengisian satu butir</t>
  </si>
  <si>
    <t xml:space="preserve">Kode</t>
  </si>
  <si>
    <t xml:space="preserve">Nilai</t>
  </si>
  <si>
    <t xml:space="preserve">Temuan dan lokasi</t>
  </si>
  <si>
    <t xml:space="preserve">BAR-04</t>
  </si>
  <si>
    <t xml:space="preserve">Tidak</t>
  </si>
  <si>
    <t xml:space="preserve">Jejak sepatu berdebu sepanjang ±3 m di koridor luar barier, depan pintu kamar 214. Keset lengket sudah jenuh, terakhir diganti 4 hari lalu.</t>
  </si>
  <si>
    <t xml:space="preserve">Contoh di atas hanya ilustrasi format; hapus atau abaikan saat memakai lembar sebenarnya.</t>
  </si>
  <si>
    <t xml:space="preserve">Asal angka ambang yang dipakai</t>
  </si>
  <si>
    <t xml:space="preserve">•  Beda tekan ≤ −2,5 Pa dan ≥ 12 pertukaran udara per jam — ANSI/ASHRAE/ASHE Standard 170, Ventilation of Health Care Facilities (edisi 2025), sejalan dengan CDC/HICPAC Guidelines for Environmental Infection Control in Health-Care Facilities.</t>
  </si>
  <si>
    <t xml:space="preserve">•  Kelembapan relatif 30–60 % dan suhu 20–24 °C — rentang ruang perawatan umum pada ASHRAE Standard 170; sesuaikan bila unit yang dinilai punya persyaratan khusus.</t>
  </si>
  <si>
    <t xml:space="preserve">•  Air panas sirkulasi ≥ 55 °C dan air dingin ≤ 25 °C — batas pengendalian pertumbuhan Legionella pada program manajemen air (CDC Toolkit, ASHRAE Standard 188).</t>
  </si>
  <si>
    <t xml:space="preserve">•  Penanganan kejadian air sampai kering dalam 72 jam — CDC/HICPAC, untuk mencegah perkecambahan spora jamur pada material berpori.</t>
  </si>
  <si>
    <t xml:space="preserve">•  Filter titik-penggunaan 0,2 µm saat gangguan air — Chaput DL dkk, Water Research 2025;282:123748.</t>
  </si>
  <si>
    <t xml:space="preserve">•  Protokol pembersihan permukaan dan saluran wastafel terjadwal — Mmolai S dkk, Antimicrob Resist Infect Control 2026;15:25; dan uji intervensi wastafel ICU (Kwon J dkk, eBioMedicine).</t>
  </si>
  <si>
    <t xml:space="preserve">•  Bobot butir, tenggat 1/3/7 hari, serta ambang 95 / 85 / 70 % adalah penetapan internal alat ini, bukan angka baku dari standar mana pun. Sesuaikan dengan kebijakan mutu rumah sakit sebelum dipakai sebagai bukti akreditasi.</t>
  </si>
  <si>
    <t xml:space="preserve">LEMBAR RONDE LINGKUNGAN — INFEKSI PADA SISTEM BANGUNAN</t>
  </si>
  <si>
    <t xml:space="preserve">Infeksi: invasi dan pertumbuhan kuman di dalam sistem bangunan  ·  konstruksi, renovasi, dan pemeliharaan</t>
  </si>
  <si>
    <t xml:space="preserve">Rumah sakit / unit kerja  :</t>
  </si>
  <si>
    <t xml:space="preserve">SKOR KEPATUHAN</t>
  </si>
  <si>
    <t xml:space="preserve">Zona yang dironde  :</t>
  </si>
  <si>
    <t xml:space="preserve">Nama pekerjaan / proyek  :</t>
  </si>
  <si>
    <t xml:space="preserve">Tanggal  :</t>
  </si>
  <si>
    <t xml:space="preserve">DIAGNOSIS</t>
  </si>
  <si>
    <t xml:space="preserve">Jam  :</t>
  </si>
  <si>
    <t xml:space="preserve">Tipe kegiatan (ICRA)  :</t>
  </si>
  <si>
    <t xml:space="preserve">Kelompok risiko pasien  :</t>
  </si>
  <si>
    <t xml:space="preserve">Kelas kewaspadaan  :</t>
  </si>
  <si>
    <t xml:space="preserve">Kontraktor / pelaksana  :</t>
  </si>
  <si>
    <t xml:space="preserve">Petugas ronde  :</t>
  </si>
  <si>
    <t xml:space="preserve">Unit yang berbatasan  :</t>
  </si>
  <si>
    <t xml:space="preserve">TANDA VITAL BANGUNAN</t>
  </si>
  <si>
    <t xml:space="preserve">Parameter</t>
  </si>
  <si>
    <t xml:space="preserve">Satuan</t>
  </si>
  <si>
    <t xml:space="preserve">Rentang target</t>
  </si>
  <si>
    <t xml:space="preserve">Status</t>
  </si>
  <si>
    <t xml:space="preserve">Beda tekan zona kerja terhadap koridor</t>
  </si>
  <si>
    <t xml:space="preserve">Pa</t>
  </si>
  <si>
    <t xml:space="preserve">Negatif, target ≤ −2,5 Pa</t>
  </si>
  <si>
    <t xml:space="preserve">Pertukaran udara zona berbarier</t>
  </si>
  <si>
    <t xml:space="preserve">x/jam</t>
  </si>
  <si>
    <t xml:space="preserve">≥ 12 pertukaran per jam</t>
  </si>
  <si>
    <t xml:space="preserve">Kelembapan relatif area sekitar</t>
  </si>
  <si>
    <t xml:space="preserve">%</t>
  </si>
  <si>
    <t xml:space="preserve">30–60 %</t>
  </si>
  <si>
    <t xml:space="preserve">Suhu area sekitar</t>
  </si>
  <si>
    <t xml:space="preserve">°C</t>
  </si>
  <si>
    <t xml:space="preserve">20–24 °C</t>
  </si>
  <si>
    <t xml:space="preserve">Suhu air panas pada sirkulasi</t>
  </si>
  <si>
    <t xml:space="preserve">≥ 55 °C</t>
  </si>
  <si>
    <t xml:space="preserve">Suhu air dingin pada keluaran</t>
  </si>
  <si>
    <t xml:space="preserve">≤ 25 °C</t>
  </si>
  <si>
    <t xml:space="preserve">PEMERIKSAAN PER SISTEM</t>
  </si>
  <si>
    <t xml:space="preserve">Butir pemeriksaan</t>
  </si>
  <si>
    <t xml:space="preserve">Maks</t>
  </si>
  <si>
    <t xml:space="preserve">Skor</t>
  </si>
  <si>
    <t xml:space="preserve">No. temuan</t>
  </si>
  <si>
    <t xml:space="preserve">UDR  ·  Sistem udara dan HVAC  — paru-paru gedung</t>
  </si>
  <si>
    <t xml:space="preserve">UDR-01</t>
  </si>
  <si>
    <t xml:space="preserve">Arah aliran udara zona kerja negatif terhadap area perawatan, dibuktikan dengan uji asap atau uji tisu di celah pintu</t>
  </si>
  <si>
    <t xml:space="preserve">UDR-02</t>
  </si>
  <si>
    <t xml:space="preserve">Beda tekan terbaca pada manometer atau alat ukur, dicatat harian, dan alat masih terkalibrasi</t>
  </si>
  <si>
    <t xml:space="preserve">UDR-03</t>
  </si>
  <si>
    <t xml:space="preserve">Seluruh diffuser suplai dan grille return di dalam zona kerja ditutup dan disegel rapat</t>
  </si>
  <si>
    <t xml:space="preserve">UDR-04</t>
  </si>
  <si>
    <t xml:space="preserve">Ducting yang dipotong atau AHU yang dibuka disegel di kedua ujung selama pekerjaan berhenti</t>
  </si>
  <si>
    <t xml:space="preserve">UDR-05</t>
  </si>
  <si>
    <t xml:space="preserve">Unit HEPA portabel atau mesin udara negatif menyala terus-menerus dan keluarannya dibuang ke luar gedung</t>
  </si>
  <si>
    <t xml:space="preserve">UDR-06</t>
  </si>
  <si>
    <t xml:space="preserve">Filter utuh, kering, terpasang tanpa celah bypass, dan belum melewati jadwal penggantian</t>
  </si>
  <si>
    <t xml:space="preserve">UDR-07</t>
  </si>
  <si>
    <t xml:space="preserve">Rongga plafon tidak dijadikan jalur kerja terbuka tanpa barier di bawahnya</t>
  </si>
  <si>
    <t xml:space="preserve">UDR-08</t>
  </si>
  <si>
    <t xml:space="preserve">Coil bersih, drain pan tidak menggenang, tidak tampak pertumbuhan jamur di dalam unit</t>
  </si>
  <si>
    <t xml:space="preserve">UDR-09</t>
  </si>
  <si>
    <t xml:space="preserve">Intake udara luar jauh dari zona debu, knalpot kendaraan, dan cerobong genset</t>
  </si>
  <si>
    <t xml:space="preserve">UDR-10</t>
  </si>
  <si>
    <t xml:space="preserve">Area perawatan di sekitar tidak berdebu, tidak berbau apek, tidak ada keluhan pasien atau staf</t>
  </si>
  <si>
    <t xml:space="preserve">AIR  ·  Sistem air dan plambing  — peredaran darah</t>
  </si>
  <si>
    <t xml:space="preserve">AIR-01</t>
  </si>
  <si>
    <t xml:space="preserve">Setelah suplai air terputus atau dimodifikasi, dilakukan flushing, disinfeksi, dan pemeriksaan sebelum area dipakai kembali</t>
  </si>
  <si>
    <t xml:space="preserve">AIR-02</t>
  </si>
  <si>
    <t xml:space="preserve">Tidak ada kebocoran, rembesan, plafon basah, atau genangan; kejadian air ditangani sampai kering dalam 72 jam</t>
  </si>
  <si>
    <t xml:space="preserve">AIR-03</t>
  </si>
  <si>
    <t xml:space="preserve">Tidak ada cabang pipa mati baru; pipa yang tidak terpakai dipotong sampai ke pangkal, bukan sekadar ditutup</t>
  </si>
  <si>
    <t xml:space="preserve">AIR-04</t>
  </si>
  <si>
    <t xml:space="preserve">Keluaran yang jarang dipakai dibilas terjadwal dan tercatat untuk mencegah stagnasi</t>
  </si>
  <si>
    <t xml:space="preserve">AIR-05</t>
  </si>
  <si>
    <t xml:space="preserve">Filter titik-penggunaan 0,2 µm terpasang di area risiko tinggi selama gangguan air, dengan catatan masa pakai</t>
  </si>
  <si>
    <t xml:space="preserve">AIR-06</t>
  </si>
  <si>
    <t xml:space="preserve">Tangki atap dan reservoir tertutup rapat, bebas akses vektor, jadwal pengurasan terdokumentasi</t>
  </si>
  <si>
    <t xml:space="preserve">AIR-07</t>
  </si>
  <si>
    <t xml:space="preserve">Mutu air hemodialisis dan air CSSD tetap dipantau selama pekerjaan berlangsung</t>
  </si>
  <si>
    <t xml:space="preserve">AIR-08</t>
  </si>
  <si>
    <t xml:space="preserve">Tidak ada air mancur dekoratif atau humidifier ruangan di area pasien</t>
  </si>
  <si>
    <t xml:space="preserve">DRN  ·  Wastafel, drainase, dan limbah  — sistem ekskresi</t>
  </si>
  <si>
    <t xml:space="preserve">DRN-01</t>
  </si>
  <si>
    <t xml:space="preserve">Wastafel klinis tidak dipakai membuang cairan tubuh, sisa obat, atau sisa makanan</t>
  </si>
  <si>
    <t xml:space="preserve">DRN-02</t>
  </si>
  <si>
    <t xml:space="preserve">Pembongkaran jalur limbah dilakukan dengan penutupan dan disinfeksi ujung pipa yang terbuka</t>
  </si>
  <si>
    <t xml:space="preserve">DRN-03</t>
  </si>
  <si>
    <t xml:space="preserve">Puing diangkut dalam wadah tertutup atau dibasahi lebih dulu, melalui jalur dan jam yang disepakati</t>
  </si>
  <si>
    <t xml:space="preserve">DRN-04</t>
  </si>
  <si>
    <t xml:space="preserve">Tidak ada barang bersih, steril, atau APD tersimpan dalam radius satu meter dari wastafel</t>
  </si>
  <si>
    <t xml:space="preserve">DRN-05</t>
  </si>
  <si>
    <t xml:space="preserve">Ada protokol pembersihan permukaan dan saluran wastafel yang terjadwal dan tercatat</t>
  </si>
  <si>
    <t xml:space="preserve">DRN-06</t>
  </si>
  <si>
    <t xml:space="preserve">Saluran mengalir lancar, perangkap air terisi, tidak ada bau balik dari drainase</t>
  </si>
  <si>
    <t xml:space="preserve">DRN-07</t>
  </si>
  <si>
    <t xml:space="preserve">Tempat penampungan sementara limbah tidak meluap dan tidak ada tumpahan di jalur transport</t>
  </si>
  <si>
    <t xml:space="preserve">BAR  ·  Barier dan pengurungan area kerja  — isolasi</t>
  </si>
  <si>
    <t xml:space="preserve">BAR-01</t>
  </si>
  <si>
    <t xml:space="preserve">Izin kerja atau lembar ICRA terpasang di pintu, masih berlaku, dan kelasnya sesuai hasil matriks</t>
  </si>
  <si>
    <t xml:space="preserve">BAR-02</t>
  </si>
  <si>
    <t xml:space="preserve">Jenis barier sesuai kelas: plastik tersegel untuk kelas rendah, dinding rigid dengan pintu rapat untuk kelas III–IV</t>
  </si>
  <si>
    <t xml:space="preserve">BAR-03</t>
  </si>
  <si>
    <t xml:space="preserve">Pintu barier selalu tertutup, tidak diganjal, dan anteroom berfungsi bila disyaratkan</t>
  </si>
  <si>
    <t xml:space="preserve">Tidak tampak debu, serbuk, atau jejak sepatu di sisi luar barier</t>
  </si>
  <si>
    <t xml:space="preserve">BAR-05</t>
  </si>
  <si>
    <t xml:space="preserve">Tidak ada celah di lantai, dinding, atau plafon; setiap penetrasi baru langsung ditutup rapat</t>
  </si>
  <si>
    <t xml:space="preserve">BAR-06</t>
  </si>
  <si>
    <t xml:space="preserve">Keset lengket di pintu keluar dalam kondisi bersih dan diganti sesuai kebutuhan</t>
  </si>
  <si>
    <t xml:space="preserve">BAR-07</t>
  </si>
  <si>
    <t xml:space="preserve">Jalur dan lift transport material terpisah dari jalur pasien; pekerjaan berdebu dijadwalkan di luar jam sibuk</t>
  </si>
  <si>
    <t xml:space="preserve">BAR-08</t>
  </si>
  <si>
    <t xml:space="preserve">Pembersihan basah harian di zona sekitar; penyedot ber-HEPA dipakai, bukan sapu kering</t>
  </si>
  <si>
    <t xml:space="preserve">SLB  ·  Selubung dan permukaan bangunan  — kulit</t>
  </si>
  <si>
    <t xml:space="preserve">SLB-01</t>
  </si>
  <si>
    <t xml:space="preserve">Tidak ada material berpori yang basah terpasang atau tersimpan: gipsum, insulasi, karpet, plafon akustik</t>
  </si>
  <si>
    <t xml:space="preserve">SLB-02</t>
  </si>
  <si>
    <t xml:space="preserve">Tidak ada pertumbuhan jamur terlihat maupun bau apek di zona kerja dan area sekitarnya</t>
  </si>
  <si>
    <t xml:space="preserve">SLB-03</t>
  </si>
  <si>
    <t xml:space="preserve">Plafon, dinding, dan lantai utuh; tidak ada ubin plafon hilang atau bernoda air</t>
  </si>
  <si>
    <t xml:space="preserve">SLB-04</t>
  </si>
  <si>
    <t xml:space="preserve">Material baru disimpan kering, di atas palet, dan terlindung hujan selama penyimpanan di lokasi</t>
  </si>
  <si>
    <t xml:space="preserve">SLB-05</t>
  </si>
  <si>
    <t xml:space="preserve">Pintu ruang bertekanan menutup sendiri dan rapat pada seluruh sisinya</t>
  </si>
  <si>
    <t xml:space="preserve">SLB-06</t>
  </si>
  <si>
    <t xml:space="preserve">Sealant pertemuan lantai-dinding dan sudut lengkung di area kritis masih utuh</t>
  </si>
  <si>
    <t xml:space="preserve">PRL  ·  Praktik pekerja dan kepatuhan kontraktor  — perilaku</t>
  </si>
  <si>
    <t xml:space="preserve">PRL-01</t>
  </si>
  <si>
    <t xml:space="preserve">Kontraktor sudah menerima pengarahan PPI dan buktinya terdokumentasi</t>
  </si>
  <si>
    <t xml:space="preserve">PRL-02</t>
  </si>
  <si>
    <t xml:space="preserve">Pekerja memakai APD sesuai kelas: masker partikulat, coverall, penutup sepatu</t>
  </si>
  <si>
    <t xml:space="preserve">PRL-03</t>
  </si>
  <si>
    <t xml:space="preserve">Pakaian dan alas kaki kotor tidak dibawa melewati area perawatan; pergantian dilakukan di area transisi</t>
  </si>
  <si>
    <t xml:space="preserve">PRL-04</t>
  </si>
  <si>
    <t xml:space="preserve">Peralatan dan material dibersihkan sebelum masuk ke dalam gedung</t>
  </si>
  <si>
    <t xml:space="preserve">PRL-05</t>
  </si>
  <si>
    <t xml:space="preserve">Sarana kebersihan tangan tersedia dan digunakan di titik keluar barier</t>
  </si>
  <si>
    <t xml:space="preserve">PRL-06</t>
  </si>
  <si>
    <t xml:space="preserve">Pekerja bergejala infeksi saluran napas tidak ditugaskan di zona risiko tinggi</t>
  </si>
  <si>
    <t xml:space="preserve">ZON  ·  Perlindungan zona berisiko tinggi di sekitar  — pasien rentan</t>
  </si>
  <si>
    <t xml:space="preserve">ZON-01</t>
  </si>
  <si>
    <t xml:space="preserve">Ruang bertekanan positif seperti OK dan ruang perlindungan diverifikasi ulang sebelum dipakai kembali</t>
  </si>
  <si>
    <t xml:space="preserve">ZON-02</t>
  </si>
  <si>
    <t xml:space="preserve">Pembersihan terminal dilakukan dan diverifikasi sebelum barier dibuka dan area diserahterimakan</t>
  </si>
  <si>
    <t xml:space="preserve">ZON-03</t>
  </si>
  <si>
    <t xml:space="preserve">Pasien berisiko tinggi direlokasi, atau dilindungi masker partikulat bila harus melewati zona kerja</t>
  </si>
  <si>
    <t xml:space="preserve">ZON-04</t>
  </si>
  <si>
    <t xml:space="preserve">Ronde bersama IPCN dilakukan pada unit yang berbatasan selama proyek berjalan</t>
  </si>
  <si>
    <t xml:space="preserve">ZON-05</t>
  </si>
  <si>
    <t xml:space="preserve">Surveilans infeksi jamur invasif dan infeksi terkait air ditingkatkan selama proyek dan tiga bulan sesudahnya</t>
  </si>
  <si>
    <t xml:space="preserve">REKAPITULASI</t>
  </si>
  <si>
    <t xml:space="preserve">Total poin maksimum  :</t>
  </si>
  <si>
    <t xml:space="preserve">Total poin diperoleh  :</t>
  </si>
  <si>
    <t xml:space="preserve">Skor kepatuhan  :</t>
  </si>
  <si>
    <t xml:space="preserve">Butir yang sudah dinilai  :</t>
  </si>
  <si>
    <t xml:space="preserve">Butir kritis tidak sesuai  :</t>
  </si>
  <si>
    <t xml:space="preserve">Seluruh butir tidak sesuai  :</t>
  </si>
  <si>
    <t xml:space="preserve">Tanda vital di luar rentang  :</t>
  </si>
  <si>
    <t xml:space="preserve">Tingkat keparahan (1–4)  :</t>
  </si>
  <si>
    <t xml:space="preserve">Diagnosis sistem bangunan  :</t>
  </si>
  <si>
    <t xml:space="preserve">Keputusan  :</t>
  </si>
  <si>
    <t xml:space="preserve">Petugas ronde</t>
  </si>
  <si>
    <t xml:space="preserve">Penanggung jawab pekerjaan</t>
  </si>
  <si>
    <t xml:space="preserve">Mengetahui</t>
  </si>
  <si>
    <t xml:space="preserve">(  ........................................  )</t>
  </si>
  <si>
    <t xml:space="preserve">IPCN / IPSRS</t>
  </si>
  <si>
    <t xml:space="preserve">Kontraktor / MK</t>
  </si>
  <si>
    <t xml:space="preserve">Ketua Komite PPI</t>
  </si>
  <si>
    <t xml:space="preserve">HASIL PER SISTEM</t>
  </si>
  <si>
    <t xml:space="preserve">Terhitung otomatis dari sheet Lembar Ronde</t>
  </si>
  <si>
    <t xml:space="preserve">Sistem</t>
  </si>
  <si>
    <t xml:space="preserve">Dinilai</t>
  </si>
  <si>
    <t xml:space="preserve">Sesuai</t>
  </si>
  <si>
    <t xml:space="preserve">N/A</t>
  </si>
  <si>
    <t xml:space="preserve">Kritis gagal</t>
  </si>
  <si>
    <t xml:space="preserve">UDR  ·  Sistem udara dan HVAC</t>
  </si>
  <si>
    <t xml:space="preserve">AIR  ·  Sistem air dan plambing</t>
  </si>
  <si>
    <t xml:space="preserve">DRN  ·  Wastafel, drainase, dan limbah</t>
  </si>
  <si>
    <t xml:space="preserve">BAR  ·  Barier dan pengurungan area kerja</t>
  </si>
  <si>
    <t xml:space="preserve">SLB  ·  Selubung dan permukaan bangunan</t>
  </si>
  <si>
    <t xml:space="preserve">PRL  ·  Praktik pekerja dan kepatuhan kontraktor</t>
  </si>
  <si>
    <t xml:space="preserve">ZON  ·  Perlindungan zona berisiko tinggi di sekitar</t>
  </si>
  <si>
    <t xml:space="preserve">TOTAL</t>
  </si>
  <si>
    <t xml:space="preserve">Sistem dengan kegagalan kritis lebih dari nol, atau skor di bawah 85 %, ditandai otomatis. Perbaiki sistem tersebut lebih dulu sebelum menutup temuan mayor dan minor.</t>
  </si>
  <si>
    <t xml:space="preserve">RENCANA TINDAK LANJUT</t>
  </si>
  <si>
    <t xml:space="preserve">Terisi otomatis dari setiap butir yang dinilai Tidak; isi kolom berlatar kuning</t>
  </si>
  <si>
    <t xml:space="preserve">No</t>
  </si>
  <si>
    <t xml:space="preserve">Butir temuan</t>
  </si>
  <si>
    <t xml:space="preserve">Hari</t>
  </si>
  <si>
    <t xml:space="preserve">Tenggat</t>
  </si>
  <si>
    <t xml:space="preserve">Penanggung jawab</t>
  </si>
  <si>
    <t xml:space="preserve">Verifikasi penutupan</t>
  </si>
  <si>
    <t xml:space="preserve">Tenggat dihitung dari tanggal ronde pada sheet Lembar Ronde: Kritis 1 hari, Mayor 3 hari, Minor 7 hari. Selama masih ada temuan Kritis berstatus Terbuka, pekerjaan pada zona terkait tidak boleh dilanjutkan.</t>
  </si>
  <si>
    <t xml:space="preserve">Disusun oleh</t>
  </si>
  <si>
    <t xml:space="preserve">Disetujui</t>
  </si>
  <si>
    <t xml:space="preserve">Diterima</t>
  </si>
  <si>
    <t xml:space="preserve">REKAP TREN ANTAR RONDE</t>
  </si>
  <si>
    <t xml:space="preserve">Baris 6 menarik hasil lembar aktif; salin sebagai nilai ke baris berikutnya setiap selesai ronde</t>
  </si>
  <si>
    <t xml:space="preserve">Tanggal</t>
  </si>
  <si>
    <t xml:space="preserve">Zona</t>
  </si>
  <si>
    <t xml:space="preserve">Proyek</t>
  </si>
  <si>
    <t xml:space="preserve">Tipe</t>
  </si>
  <si>
    <t xml:space="preserve">Kelas</t>
  </si>
  <si>
    <t xml:space="preserve">Catatan</t>
  </si>
  <si>
    <t xml:space="preserve">Baris aktif — terhubung ke Lembar Ronde</t>
  </si>
  <si>
    <t xml:space="preserve">Lantai 2 sayap timur</t>
  </si>
  <si>
    <t xml:space="preserve">Renovasi ruang rawat 201–214</t>
  </si>
  <si>
    <t xml:space="preserve">C</t>
  </si>
  <si>
    <t xml:space="preserve">III</t>
  </si>
  <si>
    <t xml:space="preserve">CONTOH — barier bocor di sisi koridor, ditutup 4 Sep</t>
  </si>
  <si>
    <t xml:space="preserve">Cara mengisi: setelah ronde selesai, salin baris aktif, lalu tempel sebagai nilai (Paste Special → Values) pada baris kosong pertama. Ganti baris CONTOH dengan data ronde pertama Anda.</t>
  </si>
  <si>
    <t xml:space="preserve">ACUAN PENETAPAN KELAS KEWASPADAAN</t>
  </si>
  <si>
    <t xml:space="preserve">Matriks ini dibaca otomatis oleh sel Kelas kewaspadaan di Lembar Ronde</t>
  </si>
  <si>
    <t xml:space="preserve">Grup</t>
  </si>
  <si>
    <t xml:space="preserve">Kelompok risiko pasien</t>
  </si>
  <si>
    <t xml:space="preserve">A</t>
  </si>
  <si>
    <t xml:space="preserve">B</t>
  </si>
  <si>
    <t xml:space="preserve">D</t>
  </si>
  <si>
    <t xml:space="preserve">1  —  Kantor dan area non-perawatan</t>
  </si>
  <si>
    <t xml:space="preserve">I</t>
  </si>
  <si>
    <t xml:space="preserve">II</t>
  </si>
  <si>
    <t xml:space="preserve">III / IV</t>
  </si>
  <si>
    <t xml:space="preserve">2  —  Rawat jalan, rawat inap umum, rehabilitasi</t>
  </si>
  <si>
    <t xml:space="preserve">IV</t>
  </si>
  <si>
    <t xml:space="preserve">3  —  IGD, kebidanan, radiologi, laboratorium, anak</t>
  </si>
  <si>
    <t xml:space="preserve">4  —  OK, ICU/NICU, CSSD, farmasi steril, hemodialisis, isolasi, onkologi</t>
  </si>
  <si>
    <t xml:space="preserve">Tipe kegiatan</t>
  </si>
  <si>
    <t xml:space="preserve">Inspeksi dan pekerjaan non-invasif: membuka plafon untuk melihat, mengecat tanpa mengamplas, pekerjaan listrik ringan.</t>
  </si>
  <si>
    <t xml:space="preserve">Skala kecil, durasi pendek, debu minimal: memasang kabel, membuka satu ubin plafon, akses terbatas ke rongga dinding.</t>
  </si>
  <si>
    <t xml:space="preserve">Membongkar atau melepas komponen bangunan tetap: mengamplas dinding, membongkar plafon, pekerjaan pipa dan ducting.</t>
  </si>
  <si>
    <t xml:space="preserve">Pembongkaran berat, demolisi, atau pekerjaan yang berlanjut lebih dari satu shift.</t>
  </si>
  <si>
    <t xml:space="preserve">Konsekuensi kelas kewaspadaan</t>
  </si>
  <si>
    <t xml:space="preserve">Pekerjaan rapi, bersihkan segera setelah selesai.</t>
  </si>
  <si>
    <t xml:space="preserve">Tekan debu dengan penyemprotan air, tutup diffuser, pel basah, buang puing dalam wadah tertutup.</t>
  </si>
  <si>
    <t xml:space="preserve">Barier tersegel penuh sebelum kerja mulai, ruang bertekanan negatif, HEPA portabel, keset lengket, pembersihan terminal sebelum barier dibuka.</t>
  </si>
  <si>
    <t xml:space="preserve">Seluruh ketentuan kelas III ditambah anteroom, penggantian pakaian kerja, transport puing di luar jam sibuk, verifikasi ulang tekanan dan kebersihan sebelum serah terima.</t>
  </si>
  <si>
    <t xml:space="preserve">Kerangka tipe kegiatan, kelompok risiko pasien, dan matriks kelas mengikuti proses ICRA sebagaimana dirujuk STARKES PPI 7.5 dan dikembangkan ASHE ICRA 2.0. Sel bertulisan “III / IV” berarti kelas ditetapkan tim ICRA sesuai durasi, volume debu, dan kedekatan dengan pasien.</t>
  </si>
  <si>
    <t xml:space="preserve">DASAR PENYUSUNAN</t>
  </si>
  <si>
    <t xml:space="preserve">Regulasi, standar, dan bukti mutakhir yang membentuk butir-butir ronde</t>
  </si>
  <si>
    <t xml:space="preserve">Regulasi dan standar</t>
  </si>
  <si>
    <t xml:space="preserve">STARKES PPI 7.5</t>
  </si>
  <si>
    <t xml:space="preserve">Rumah sakit menetapkan regulasi ICRA dan melaksanakannya pada semua renovasi, konstruksi, dan demolisi; mencakup identifikasi tipe kegiatan, kelompok risiko pasien, matriks, penetapan kelas, tindakan pengendalian, dan monitoring. Bukti yang diminta termasuk hasil pemantauan kualitas udara akibat dampak renovasi.</t>
  </si>
  <si>
    <t xml:space="preserve">STARKES MFK 4</t>
  </si>
  <si>
    <t xml:space="preserve">Rumah sakit melakukan penilaian risiko prakonstruksi (PCRA) bila ada rencana konstruksi, renovasi, atau demolisi; mengambil tindakan atas hasilnya; serta memastikan kepatuhan kontraktor dipantau, ditegakkan, dan didokumentasikan.</t>
  </si>
  <si>
    <t xml:space="preserve">ASHE ICRA 2.0 (2022)</t>
  </si>
  <si>
    <t xml:space="preserve">Proses lima langkah lintas disiplin untuk pencegahan infeksi selama konstruksi, renovasi, dan pemeliharaan. Langkah keempat menilai area di sekitar zona kerja, termasuk debu, kebisingan, dan getaran pada area yang tidak dikerjakan langsung.</t>
  </si>
  <si>
    <t xml:space="preserve">ANSI/ASHRAE/ASHE 170 (2025)</t>
  </si>
  <si>
    <t xml:space="preserve">Ventilation of Health Care Facilities. Sumber parameter ventilasi, arah aliran udara, beda tekan, suhu, dan kelembapan ruang.</t>
  </si>
  <si>
    <t xml:space="preserve">CDC/HICPAC</t>
  </si>
  <si>
    <t xml:space="preserve">Guidelines for Environmental Infection Control in Health-Care Facilities, beserta CDC Toolkit untuk program manajemen air. Dasar pengendalian debu, penanganan kejadian air, dan risiko percikan dari wastafel serta saluran.</t>
  </si>
  <si>
    <t xml:space="preserve">FGI Guidelines</t>
  </si>
  <si>
    <t xml:space="preserve">Sumber asli kewajiban ICRA sejak edisi 1996. Draf edisi 2026 menambahkan persyaratan untuk menekan usia air (water age) dalam sistem plambing.</t>
  </si>
  <si>
    <t xml:space="preserve">Bukti mutakhir</t>
  </si>
  <si>
    <t xml:space="preserve">Stever R, 2022</t>
  </si>
  <si>
    <t xml:space="preserve">Applying building management tactics to infection control. Health Facilities Management, 22 September 2022. Sumber gagasan mengganti kata “tubuh” dengan “sistem bangunan” pada definisi infeksi.</t>
  </si>
  <si>
    <t xml:space="preserve">Mmolai S dkk, 2026</t>
  </si>
  <si>
    <t xml:space="preserve">Stewarding the hospital sink drain: a narrative review of practical approaches for controlling gram negative pathogens in low- and middle-income countries. Antimicrob Resist Infect Control 2026;15:25. Lima hambatan pengendalian biofilm saluran wastafel pada fasilitas dengan sumber daya terbatas.</t>
  </si>
  <si>
    <t xml:space="preserve">J Hosp Infect, 2025</t>
  </si>
  <si>
    <t xml:space="preserve">Survey of current national and international guidance to reduce risk of aspergillosis in hospitals. Telaah 75 dokumen dari 24 negara; menegaskan perlunya pendekatan multidisiplin dan pengelolaan lingkungan rutin, bukan hanya saat proyek berlangsung.</t>
  </si>
  <si>
    <t xml:space="preserve">Meijer EFJ dkk, 2025</t>
  </si>
  <si>
    <t xml:space="preserve">A practical approach to investigating nosocomial acquisition of Aspergillus. Med Mycol 2025;63(2):myaf007. Dasar butir inspeksi terarah: riwayat kerusakan air, debu, rekam pemeliharaan, filter, laju pertukaran udara, dan beda tekan.</t>
  </si>
  <si>
    <t xml:space="preserve">Chaput DL dkk, 2025</t>
  </si>
  <si>
    <t xml:space="preserve">Reversing and controlling microbial proliferation in the water system of a high-risk hospital ward after extended closure and reconstruction. Water Res 2025;282:123748. Dasar butir flushing, disinfeksi, dan filter titik-penggunaan sebelum area dipakai kembali.</t>
  </si>
  <si>
    <t xml:space="preserve">Kwon J dkk</t>
  </si>
  <si>
    <t xml:space="preserve">Uji intervensi kebersihan wastafel ICU, eBioMedicine. Pembersihan permukaan dan saluran wastafel lima kali seminggu menurunkan proporsi saluran yang menumbuhkan bakteri Gram-negatif hingga sekitar 85 % dibanding sekali seminggu.</t>
  </si>
  <si>
    <t xml:space="preserve">Alat ini disusun independen. ASHE menerbitkan Environmental Rounding Tool versinya sendiri sebagai berkas Excel khusus anggota; isi, bobot, dan penilaian di sini tidak menyalin berkas tersebut. Sesuaikan butir dan ambang dengan regulasi internal rumah sakit sebelum dipakai sebagai bukti akreditasi.</t>
  </si>
</sst>
</file>

<file path=xl/styles.xml><?xml version="1.0" encoding="utf-8"?>
<styleSheet xmlns="http://schemas.openxmlformats.org/spreadsheetml/2006/main">
  <numFmts count="6">
    <numFmt numFmtId="164" formatCode="General"/>
    <numFmt numFmtId="165" formatCode="0%"/>
    <numFmt numFmtId="166" formatCode="dd/mm/yyyy"/>
    <numFmt numFmtId="167" formatCode="hh:mm"/>
    <numFmt numFmtId="168" formatCode="0"/>
    <numFmt numFmtId="169" formatCode="General"/>
  </numFmts>
  <fonts count="34">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i val="true"/>
      <sz val="9"/>
      <color rgb="FFFFFFFF"/>
      <name val="Arial"/>
      <family val="0"/>
      <charset val="1"/>
    </font>
    <font>
      <b val="true"/>
      <sz val="11"/>
      <color rgb="FF1F4E45"/>
      <name val="Arial"/>
      <family val="0"/>
      <charset val="1"/>
    </font>
    <font>
      <sz val="10"/>
      <color rgb="FF1A1A1A"/>
      <name val="Arial"/>
      <family val="0"/>
      <charset val="1"/>
    </font>
    <font>
      <b val="true"/>
      <sz val="10"/>
      <color rgb="FF2B5D4F"/>
      <name val="Arial"/>
      <family val="0"/>
      <charset val="1"/>
    </font>
    <font>
      <b val="true"/>
      <sz val="10"/>
      <color rgb="FF0000CC"/>
      <name val="Arial"/>
      <family val="0"/>
      <charset val="1"/>
    </font>
    <font>
      <b val="true"/>
      <sz val="10"/>
      <color rgb="FF1A1A1A"/>
      <name val="Arial"/>
      <family val="0"/>
      <charset val="1"/>
    </font>
    <font>
      <b val="true"/>
      <sz val="10"/>
      <color rgb="FF9C2A19"/>
      <name val="Arial"/>
      <family val="0"/>
      <charset val="1"/>
    </font>
    <font>
      <b val="true"/>
      <sz val="10"/>
      <color rgb="FF1F4E45"/>
      <name val="Arial"/>
      <family val="0"/>
      <charset val="1"/>
    </font>
    <font>
      <b val="true"/>
      <sz val="10"/>
      <color rgb="FF5A5A58"/>
      <name val="Arial"/>
      <family val="0"/>
      <charset val="1"/>
    </font>
    <font>
      <b val="true"/>
      <sz val="9"/>
      <color rgb="FFFFFFFF"/>
      <name val="Arial"/>
      <family val="0"/>
      <charset val="1"/>
    </font>
    <font>
      <sz val="10"/>
      <color rgb="FF0000CC"/>
      <name val="Arial"/>
      <family val="0"/>
      <charset val="1"/>
    </font>
    <font>
      <i val="true"/>
      <sz val="9"/>
      <color rgb="FF1A1A1A"/>
      <name val="Arial"/>
      <family val="0"/>
      <charset val="1"/>
    </font>
    <font>
      <sz val="9"/>
      <color rgb="FF1A1A1A"/>
      <name val="Arial"/>
      <family val="0"/>
      <charset val="1"/>
    </font>
    <font>
      <b val="true"/>
      <sz val="26"/>
      <color rgb="FF1F4E45"/>
      <name val="Arial"/>
      <family val="0"/>
      <charset val="1"/>
    </font>
    <font>
      <b val="true"/>
      <sz val="12"/>
      <color rgb="FF1F4E45"/>
      <name val="Arial"/>
      <family val="0"/>
      <charset val="1"/>
    </font>
    <font>
      <b val="true"/>
      <sz val="10"/>
      <color rgb="FFFFFFFF"/>
      <name val="Arial"/>
      <family val="0"/>
      <charset val="1"/>
    </font>
    <font>
      <sz val="9"/>
      <color rgb="FF5A5A58"/>
      <name val="Arial"/>
      <family val="0"/>
      <charset val="1"/>
    </font>
    <font>
      <b val="true"/>
      <sz val="9"/>
      <color rgb="FF9C2A19"/>
      <name val="Arial"/>
      <family val="0"/>
      <charset val="1"/>
    </font>
    <font>
      <sz val="9"/>
      <color rgb="FF0000CC"/>
      <name val="Arial"/>
      <family val="0"/>
      <charset val="1"/>
    </font>
    <font>
      <b val="true"/>
      <sz val="9"/>
      <color rgb="FF8A5D00"/>
      <name val="Arial"/>
      <family val="0"/>
      <charset val="1"/>
    </font>
    <font>
      <b val="true"/>
      <sz val="9"/>
      <color rgb="FF5A5A58"/>
      <name val="Arial"/>
      <family val="0"/>
      <charset val="1"/>
    </font>
    <font>
      <b val="true"/>
      <sz val="9"/>
      <color rgb="FF1F4E45"/>
      <name val="Arial"/>
      <family val="0"/>
      <charset val="1"/>
    </font>
    <font>
      <sz val="10"/>
      <name val="Arial"/>
      <family val="2"/>
    </font>
    <font>
      <i val="true"/>
      <sz val="9"/>
      <color rgb="FF5A5A58"/>
      <name val="Arial"/>
      <family val="0"/>
      <charset val="1"/>
    </font>
    <font>
      <b val="true"/>
      <sz val="9"/>
      <color rgb="FF1A1A1A"/>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1"/>
      <color rgb="FFFFFFFF"/>
      <name val="Arial"/>
      <family val="0"/>
      <charset val="1"/>
    </font>
  </fonts>
  <fills count="12">
    <fill>
      <patternFill patternType="none"/>
    </fill>
    <fill>
      <patternFill patternType="gray125"/>
    </fill>
    <fill>
      <patternFill patternType="solid">
        <fgColor rgb="FF1F4E45"/>
        <bgColor rgb="FF2B5D4F"/>
      </patternFill>
    </fill>
    <fill>
      <patternFill patternType="solid">
        <fgColor rgb="FF2B5D4F"/>
        <bgColor rgb="FF1F4E45"/>
      </patternFill>
    </fill>
    <fill>
      <patternFill patternType="solid">
        <fgColor rgb="FFD9E6E0"/>
        <bgColor rgb="FFDFEFE3"/>
      </patternFill>
    </fill>
    <fill>
      <patternFill patternType="solid">
        <fgColor rgb="FFFFF9E0"/>
        <bgColor rgb="FFFBEFD4"/>
      </patternFill>
    </fill>
    <fill>
      <patternFill patternType="solid">
        <fgColor rgb="FFFFFFFF"/>
        <bgColor rgb="FFFAFAFA"/>
      </patternFill>
    </fill>
    <fill>
      <patternFill patternType="solid">
        <fgColor rgb="FFF4D9D4"/>
        <bgColor rgb="FFE8E8E6"/>
      </patternFill>
    </fill>
    <fill>
      <patternFill patternType="solid">
        <fgColor rgb="FFDFEFE3"/>
        <bgColor rgb="FFE8E8E6"/>
      </patternFill>
    </fill>
    <fill>
      <patternFill patternType="solid">
        <fgColor rgb="FFE8E8E6"/>
        <bgColor rgb="FFDFEFE3"/>
      </patternFill>
    </fill>
    <fill>
      <patternFill patternType="solid">
        <fgColor rgb="FFEDF3F0"/>
        <bgColor rgb="FFDFEFE3"/>
      </patternFill>
    </fill>
    <fill>
      <patternFill patternType="solid">
        <fgColor rgb="FFFBEFD4"/>
        <bgColor rgb="FFFFF9E0"/>
      </patternFill>
    </fill>
  </fills>
  <borders count="2">
    <border diagonalUp="false" diagonalDown="false">
      <left/>
      <right/>
      <top/>
      <bottom/>
      <diagonal/>
    </border>
    <border diagonalUp="false" diagonalDown="false">
      <left style="thin">
        <color rgb="FFB9C4BE"/>
      </left>
      <right style="thin">
        <color rgb="FFB9C4BE"/>
      </right>
      <top style="thin">
        <color rgb="FFB9C4BE"/>
      </top>
      <bottom style="thin">
        <color rgb="FFB9C4B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3" borderId="0" xfId="0" applyFont="true" applyBorder="true" applyAlignment="true" applyProtection="false">
      <alignment horizontal="general" vertical="center" textRotation="0" wrapText="false" indent="1" shrinkToFit="false"/>
      <protection locked="true" hidden="false"/>
    </xf>
    <xf numFmtId="164" fontId="6" fillId="4" borderId="0" xfId="0" applyFont="true" applyBorder="true" applyAlignment="true" applyProtection="false">
      <alignment horizontal="general" vertical="center" textRotation="0" wrapText="false" indent="1"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center" vertical="top" textRotation="0" wrapText="false" indent="0" shrinkToFit="false"/>
      <protection locked="true" hidden="false"/>
    </xf>
    <xf numFmtId="164" fontId="9" fillId="5" borderId="1" xfId="0" applyFont="true" applyBorder="true" applyAlignment="false" applyProtection="false">
      <alignment horizontal="general" vertical="bottom" textRotation="0" wrapText="false" indent="0" shrinkToFit="false"/>
      <protection locked="true" hidden="false"/>
    </xf>
    <xf numFmtId="164" fontId="10" fillId="6" borderId="1" xfId="0" applyFont="true" applyBorder="true" applyAlignment="false" applyProtection="false">
      <alignment horizontal="general" vertical="bottom" textRotation="0" wrapText="false" indent="0" shrinkToFit="false"/>
      <protection locked="true" hidden="false"/>
    </xf>
    <xf numFmtId="164" fontId="11" fillId="7" borderId="1" xfId="0" applyFont="true" applyBorder="true" applyAlignment="false" applyProtection="false">
      <alignment horizontal="general" vertical="bottom" textRotation="0" wrapText="false" indent="0" shrinkToFit="false"/>
      <protection locked="true" hidden="false"/>
    </xf>
    <xf numFmtId="164" fontId="12" fillId="8" borderId="1" xfId="0" applyFont="true" applyBorder="true" applyAlignment="false" applyProtection="false">
      <alignment horizontal="general" vertical="bottom" textRotation="0" wrapText="false" indent="0" shrinkToFit="false"/>
      <protection locked="true" hidden="false"/>
    </xf>
    <xf numFmtId="164" fontId="13" fillId="9" borderId="1" xfId="0" applyFont="true" applyBorder="true" applyAlignment="false" applyProtection="false">
      <alignment horizontal="general" vertical="bottom" textRotation="0" wrapText="fals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8" borderId="1" xfId="0" applyFont="true" applyBorder="true" applyAlignment="true" applyProtection="false">
      <alignment horizontal="general" vertical="top" textRotation="0" wrapText="true" indent="0" shrinkToFit="false"/>
      <protection locked="true" hidden="false"/>
    </xf>
    <xf numFmtId="164" fontId="10" fillId="8" borderId="1" xfId="0" applyFont="true" applyBorder="true" applyAlignment="true" applyProtection="false">
      <alignment horizontal="general" vertical="top" textRotation="0" wrapText="true" indent="0" shrinkToFit="false"/>
      <protection locked="true" hidden="false"/>
    </xf>
    <xf numFmtId="164" fontId="0" fillId="8" borderId="1" xfId="0" applyFont="true" applyBorder="true" applyAlignment="true" applyProtection="false">
      <alignment horizontal="general" vertical="top" textRotation="0" wrapText="true" indent="0" shrinkToFit="false"/>
      <protection locked="true" hidden="false"/>
    </xf>
    <xf numFmtId="164" fontId="7" fillId="10" borderId="1" xfId="0" applyFont="true" applyBorder="true" applyAlignment="true" applyProtection="false">
      <alignment horizontal="general" vertical="top" textRotation="0" wrapText="true" indent="0" shrinkToFit="false"/>
      <protection locked="true" hidden="false"/>
    </xf>
    <xf numFmtId="164" fontId="10" fillId="10" borderId="1" xfId="0" applyFont="true" applyBorder="true" applyAlignment="true" applyProtection="false">
      <alignment horizontal="general" vertical="top" textRotation="0" wrapText="true" indent="0" shrinkToFit="false"/>
      <protection locked="true" hidden="false"/>
    </xf>
    <xf numFmtId="164" fontId="0" fillId="10" borderId="1" xfId="0" applyFont="true" applyBorder="true" applyAlignment="true" applyProtection="false">
      <alignment horizontal="general" vertical="top" textRotation="0" wrapText="true" indent="0" shrinkToFit="false"/>
      <protection locked="true" hidden="false"/>
    </xf>
    <xf numFmtId="164" fontId="7" fillId="11" borderId="1" xfId="0" applyFont="true" applyBorder="true" applyAlignment="true" applyProtection="false">
      <alignment horizontal="general" vertical="top" textRotation="0" wrapText="true" indent="0" shrinkToFit="false"/>
      <protection locked="true" hidden="false"/>
    </xf>
    <xf numFmtId="164" fontId="10" fillId="11" borderId="1" xfId="0" applyFont="true" applyBorder="true" applyAlignment="true" applyProtection="false">
      <alignment horizontal="general" vertical="top" textRotation="0" wrapText="true" indent="0" shrinkToFit="false"/>
      <protection locked="true" hidden="false"/>
    </xf>
    <xf numFmtId="164" fontId="0" fillId="11" borderId="1" xfId="0" applyFont="true" applyBorder="true" applyAlignment="true" applyProtection="false">
      <alignment horizontal="general" vertical="top" textRotation="0" wrapText="true" indent="0" shrinkToFit="false"/>
      <protection locked="true" hidden="false"/>
    </xf>
    <xf numFmtId="164" fontId="7" fillId="7" borderId="1" xfId="0" applyFont="true" applyBorder="true" applyAlignment="true" applyProtection="false">
      <alignment horizontal="general" vertical="top" textRotation="0" wrapText="true" indent="0" shrinkToFit="false"/>
      <protection locked="true" hidden="false"/>
    </xf>
    <xf numFmtId="164" fontId="10" fillId="7" borderId="1" xfId="0" applyFont="true" applyBorder="true" applyAlignment="true" applyProtection="false">
      <alignment horizontal="general" vertical="top" textRotation="0" wrapText="true" indent="0" shrinkToFit="false"/>
      <protection locked="true" hidden="false"/>
    </xf>
    <xf numFmtId="164" fontId="0" fillId="7" borderId="1" xfId="0" applyFont="true" applyBorder="true" applyAlignment="true" applyProtection="false">
      <alignment horizontal="general" vertical="top" textRotation="0" wrapText="true" indent="0" shrinkToFit="false"/>
      <protection locked="true" hidden="false"/>
    </xf>
    <xf numFmtId="164" fontId="15" fillId="5" borderId="1" xfId="0" applyFont="true" applyBorder="true" applyAlignment="false" applyProtection="false">
      <alignment horizontal="general" vertical="bottom" textRotation="0" wrapText="false" indent="0" shrinkToFit="false"/>
      <protection locked="true" hidden="false"/>
    </xf>
    <xf numFmtId="164" fontId="15" fillId="5" borderId="1" xfId="0" applyFont="true" applyBorder="true" applyAlignment="true" applyProtection="false">
      <alignment horizontal="general" vertical="top" textRotation="0" wrapText="tru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right" vertical="center" textRotation="0" wrapText="false" indent="0" shrinkToFit="false"/>
      <protection locked="true" hidden="false"/>
    </xf>
    <xf numFmtId="164" fontId="14" fillId="3" borderId="1" xfId="0" applyFont="true" applyBorder="true" applyAlignment="true" applyProtection="false">
      <alignment horizontal="center" vertical="center" textRotation="0" wrapText="false" indent="0" shrinkToFit="false"/>
      <protection locked="true" hidden="false"/>
    </xf>
    <xf numFmtId="165" fontId="18" fillId="0" borderId="1" xfId="0" applyFont="true" applyBorder="true" applyAlignment="true" applyProtection="false">
      <alignment horizontal="center" vertical="center" textRotation="0" wrapText="false" indent="0" shrinkToFit="false"/>
      <protection locked="true" hidden="false"/>
    </xf>
    <xf numFmtId="166" fontId="15" fillId="5" borderId="1" xfId="0" applyFont="true" applyBorder="true" applyAlignment="false" applyProtection="false">
      <alignment horizontal="general" vertical="bottom" textRotation="0" wrapText="false" indent="0" shrinkToFit="false"/>
      <protection locked="true" hidden="false"/>
    </xf>
    <xf numFmtId="167" fontId="15" fillId="5" borderId="1" xfId="0" applyFont="true" applyBorder="true" applyAlignment="false" applyProtection="false">
      <alignment horizontal="general" vertical="bottom" textRotation="0" wrapText="false" indent="0" shrinkToFit="false"/>
      <protection locked="true" hidden="false"/>
    </xf>
    <xf numFmtId="164" fontId="19" fillId="0" borderId="1" xfId="0" applyFont="true" applyBorder="true" applyAlignment="true" applyProtection="false">
      <alignment horizontal="center"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general" vertical="center" textRotation="0" wrapText="false" indent="1" shrinkToFit="false"/>
      <protection locked="true" hidden="false"/>
    </xf>
    <xf numFmtId="164" fontId="15" fillId="5" borderId="1" xfId="0" applyFont="true" applyBorder="true" applyAlignment="true" applyProtection="false">
      <alignment horizontal="center" vertical="center" textRotation="0" wrapText="false" indent="0" shrinkToFit="false"/>
      <protection locked="true" hidden="false"/>
    </xf>
    <xf numFmtId="164" fontId="17" fillId="0" borderId="1" xfId="0" applyFont="true" applyBorder="true" applyAlignment="true" applyProtection="false">
      <alignment horizontal="general" vertical="center" textRotation="0" wrapText="false" indent="1" shrinkToFit="false"/>
      <protection locked="true" hidden="false"/>
    </xf>
    <xf numFmtId="164" fontId="10" fillId="0" borderId="1" xfId="0" applyFont="true" applyBorder="true" applyAlignment="true" applyProtection="false">
      <alignment horizontal="center" vertical="center" textRotation="0" wrapText="false" indent="0"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20" fillId="3" borderId="1" xfId="0" applyFont="true" applyBorder="true" applyAlignment="true" applyProtection="false">
      <alignment horizontal="general" vertical="center" textRotation="0" wrapText="false" indent="1" shrinkToFit="false"/>
      <protection locked="true" hidden="false"/>
    </xf>
    <xf numFmtId="164" fontId="21" fillId="0" borderId="1" xfId="0" applyFont="true" applyBorder="true" applyAlignment="true" applyProtection="false">
      <alignment horizontal="center" vertical="center" textRotation="0" wrapText="false" indent="0" shrinkToFit="false"/>
      <protection locked="true" hidden="false"/>
    </xf>
    <xf numFmtId="164" fontId="22" fillId="0" borderId="1" xfId="0" applyFont="true" applyBorder="true" applyAlignment="true" applyProtection="false">
      <alignment horizontal="center" vertical="center" textRotation="0" wrapText="false" indent="0" shrinkToFit="false"/>
      <protection locked="true" hidden="false"/>
    </xf>
    <xf numFmtId="164" fontId="23" fillId="5" borderId="1" xfId="0" applyFont="true" applyBorder="true" applyAlignment="true" applyProtection="false">
      <alignment horizontal="general" vertical="top" textRotation="0" wrapText="true" indent="0" shrinkToFit="false"/>
      <protection locked="true" hidden="false"/>
    </xf>
    <xf numFmtId="164" fontId="24" fillId="0" borderId="1" xfId="0" applyFont="true" applyBorder="true" applyAlignment="true" applyProtection="false">
      <alignment horizontal="center" vertical="center" textRotation="0" wrapText="false" indent="0" shrinkToFit="false"/>
      <protection locked="true" hidden="false"/>
    </xf>
    <xf numFmtId="164" fontId="25" fillId="0" borderId="1" xfId="0" applyFont="true" applyBorder="true" applyAlignment="true" applyProtection="false">
      <alignment horizontal="center" vertical="center" textRotation="0" wrapText="false" indent="0" shrinkToFit="false"/>
      <protection locked="true" hidden="false"/>
    </xf>
    <xf numFmtId="168" fontId="7" fillId="0" borderId="1" xfId="0" applyFont="true" applyBorder="true" applyAlignment="true" applyProtection="false">
      <alignment horizontal="general" vertical="center" textRotation="0" wrapText="true" indent="1" shrinkToFit="false"/>
      <protection locked="true" hidden="false"/>
    </xf>
    <xf numFmtId="165" fontId="7" fillId="0" borderId="1" xfId="0" applyFont="true" applyBorder="true" applyAlignment="true" applyProtection="false">
      <alignment horizontal="general" vertical="center" textRotation="0" wrapText="true" indent="1" shrinkToFit="false"/>
      <protection locked="true" hidden="false"/>
    </xf>
    <xf numFmtId="164" fontId="6" fillId="0" borderId="1" xfId="0" applyFont="true" applyBorder="true" applyAlignment="true" applyProtection="false">
      <alignment horizontal="general" vertical="center" textRotation="0" wrapText="true" indent="1" shrinkToFit="false"/>
      <protection locked="true" hidden="false"/>
    </xf>
    <xf numFmtId="164" fontId="7" fillId="0" borderId="1" xfId="0" applyFont="true" applyBorder="true" applyAlignment="true" applyProtection="false">
      <alignment horizontal="general" vertical="center" textRotation="0" wrapText="true" indent="1"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center" vertical="center" textRotation="0" wrapText="false" indent="0" shrinkToFit="false"/>
      <protection locked="true" hidden="false"/>
    </xf>
    <xf numFmtId="169" fontId="7" fillId="0" borderId="1" xfId="0" applyFont="true" applyBorder="true" applyAlignment="true" applyProtection="false">
      <alignment horizontal="center" vertical="center" textRotation="0" wrapText="false" indent="0" shrinkToFit="false"/>
      <protection locked="true" hidden="false"/>
    </xf>
    <xf numFmtId="164" fontId="12" fillId="4" borderId="1" xfId="0" applyFont="true" applyBorder="true" applyAlignment="true" applyProtection="false">
      <alignment horizontal="general" vertical="center" textRotation="0" wrapText="false" indent="1" shrinkToFit="false"/>
      <protection locked="true" hidden="false"/>
    </xf>
    <xf numFmtId="169" fontId="10" fillId="4" borderId="1" xfId="0" applyFont="true" applyBorder="true" applyAlignment="true" applyProtection="false">
      <alignment horizontal="center" vertical="center" textRotation="0" wrapText="false" indent="0" shrinkToFit="false"/>
      <protection locked="true" hidden="false"/>
    </xf>
    <xf numFmtId="165" fontId="10" fillId="4" borderId="1" xfId="0" applyFont="true" applyBorder="true" applyAlignment="true" applyProtection="false">
      <alignment horizontal="center" vertical="center" textRotation="0" wrapText="false" indent="0" shrinkToFit="false"/>
      <protection locked="true" hidden="false"/>
    </xf>
    <xf numFmtId="164" fontId="28" fillId="0" borderId="0" xfId="0" applyFont="true" applyBorder="true" applyAlignment="true" applyProtection="false">
      <alignment horizontal="general" vertical="top" textRotation="0" wrapText="true" indent="0" shrinkToFit="false"/>
      <protection locked="true" hidden="false"/>
    </xf>
    <xf numFmtId="164" fontId="17" fillId="0" borderId="1" xfId="0" applyFont="true" applyBorder="true" applyAlignment="true" applyProtection="false">
      <alignment horizontal="general" vertical="top" textRotation="0" wrapText="true" indent="0" shrinkToFit="false"/>
      <protection locked="true" hidden="false"/>
    </xf>
    <xf numFmtId="164" fontId="29" fillId="0" borderId="1" xfId="0" applyFont="true" applyBorder="true" applyAlignment="true" applyProtection="false">
      <alignment horizontal="center" vertical="center" textRotation="0" wrapText="false" indent="0" shrinkToFit="false"/>
      <protection locked="true" hidden="false"/>
    </xf>
    <xf numFmtId="164" fontId="17" fillId="0" borderId="1" xfId="0" applyFont="true" applyBorder="true" applyAlignment="true" applyProtection="false">
      <alignment horizontal="center" vertical="center" textRotation="0" wrapText="false" indent="0" shrinkToFit="false"/>
      <protection locked="true" hidden="false"/>
    </xf>
    <xf numFmtId="166" fontId="17" fillId="0" borderId="1" xfId="0" applyFont="true" applyBorder="true" applyAlignment="true" applyProtection="false">
      <alignment horizontal="center" vertical="center" textRotation="0" wrapText="false" indent="0" shrinkToFit="false"/>
      <protection locked="true" hidden="false"/>
    </xf>
    <xf numFmtId="166" fontId="17" fillId="10" borderId="1" xfId="0" applyFont="true" applyBorder="true" applyAlignment="false" applyProtection="false">
      <alignment horizontal="general" vertical="bottom" textRotation="0" wrapText="false" indent="0" shrinkToFit="false"/>
      <protection locked="true" hidden="false"/>
    </xf>
    <xf numFmtId="169" fontId="17" fillId="10" borderId="1" xfId="0" applyFont="true" applyBorder="true" applyAlignment="false" applyProtection="false">
      <alignment horizontal="general" vertical="bottom" textRotation="0" wrapText="false" indent="0" shrinkToFit="false"/>
      <protection locked="true" hidden="false"/>
    </xf>
    <xf numFmtId="164" fontId="17" fillId="10" borderId="1" xfId="0" applyFont="true" applyBorder="true" applyAlignment="true" applyProtection="false">
      <alignment horizontal="center" vertical="center" textRotation="0" wrapText="false" indent="0" shrinkToFit="false"/>
      <protection locked="true" hidden="false"/>
    </xf>
    <xf numFmtId="165" fontId="17" fillId="10" borderId="1" xfId="0" applyFont="true" applyBorder="true" applyAlignment="true" applyProtection="false">
      <alignment horizontal="center" vertical="center" textRotation="0" wrapText="false" indent="0" shrinkToFit="false"/>
      <protection locked="true" hidden="false"/>
    </xf>
    <xf numFmtId="168" fontId="17" fillId="10" borderId="1" xfId="0" applyFont="true" applyBorder="true" applyAlignment="true" applyProtection="false">
      <alignment horizontal="center" vertical="center" textRotation="0" wrapText="false" indent="0" shrinkToFit="false"/>
      <protection locked="true" hidden="false"/>
    </xf>
    <xf numFmtId="164" fontId="28" fillId="10" borderId="1" xfId="0" applyFont="true" applyBorder="true" applyAlignment="false" applyProtection="false">
      <alignment horizontal="general" vertical="bottom" textRotation="0" wrapText="false" indent="0" shrinkToFit="false"/>
      <protection locked="true" hidden="false"/>
    </xf>
    <xf numFmtId="166" fontId="23" fillId="5" borderId="1" xfId="0" applyFont="true" applyBorder="true" applyAlignment="true" applyProtection="false">
      <alignment horizontal="center" vertical="center" textRotation="0" wrapText="false" indent="0" shrinkToFit="false"/>
      <protection locked="true" hidden="false"/>
    </xf>
    <xf numFmtId="164" fontId="23" fillId="5" borderId="1" xfId="0" applyFont="true" applyBorder="true" applyAlignment="false" applyProtection="false">
      <alignment horizontal="general" vertical="bottom" textRotation="0" wrapText="false" indent="0" shrinkToFit="false"/>
      <protection locked="true" hidden="false"/>
    </xf>
    <xf numFmtId="164" fontId="23" fillId="5" borderId="1" xfId="0" applyFont="true" applyBorder="true" applyAlignment="true" applyProtection="false">
      <alignment horizontal="center" vertical="center" textRotation="0" wrapText="false" indent="0" shrinkToFit="false"/>
      <protection locked="true" hidden="false"/>
    </xf>
    <xf numFmtId="165" fontId="23" fillId="5" borderId="1" xfId="0" applyFont="true" applyBorder="true" applyAlignment="true" applyProtection="false">
      <alignment horizontal="center" vertical="center" textRotation="0" wrapText="false" indent="0" shrinkToFit="false"/>
      <protection locked="true" hidden="false"/>
    </xf>
    <xf numFmtId="164" fontId="14" fillId="3" borderId="1" xfId="0" applyFont="true" applyBorder="true" applyAlignment="true" applyProtection="false">
      <alignment horizontal="general" vertical="center" textRotation="0" wrapText="false" indent="1" shrinkToFit="false"/>
      <protection locked="true" hidden="false"/>
    </xf>
    <xf numFmtId="164" fontId="33" fillId="3" borderId="1" xfId="0" applyFont="true" applyBorder="true" applyAlignment="true" applyProtection="false">
      <alignment horizontal="center" vertical="center" textRotation="0" wrapText="false" indent="0" shrinkToFit="false"/>
      <protection locked="true" hidden="false"/>
    </xf>
    <xf numFmtId="164" fontId="6" fillId="4" borderId="1" xfId="0" applyFont="true" applyBorder="true" applyAlignment="true" applyProtection="false">
      <alignment horizontal="center" vertical="center" textRotation="0" wrapText="false" indent="0" shrinkToFit="false"/>
      <protection locked="true" hidden="false"/>
    </xf>
    <xf numFmtId="164" fontId="7" fillId="10" borderId="1" xfId="0" applyFont="true" applyBorder="true" applyAlignment="true" applyProtection="false">
      <alignment horizontal="general" vertical="center" textRotation="0" wrapText="false" indent="1"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26"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4">
    <dxf>
      <font>
        <name val="Arial"/>
        <charset val="1"/>
        <family val="0"/>
        <b val="1"/>
        <color rgb="FF9C2A19"/>
        <sz val="10"/>
      </font>
      <fill>
        <patternFill>
          <bgColor rgb="FFF4D9D4"/>
        </patternFill>
      </fill>
    </dxf>
    <dxf>
      <font>
        <name val="Arial"/>
        <charset val="1"/>
        <family val="0"/>
        <color rgb="FF1F4E45"/>
        <sz val="10"/>
      </font>
      <fill>
        <patternFill>
          <bgColor rgb="FFDFEFE3"/>
        </patternFill>
      </fill>
    </dxf>
    <dxf>
      <font>
        <name val="Arial"/>
        <charset val="1"/>
        <family val="0"/>
        <color rgb="FF5A5A58"/>
        <sz val="10"/>
      </font>
      <fill>
        <patternFill>
          <bgColor rgb="FFE8E8E6"/>
        </patternFill>
      </fill>
    </dxf>
    <dxf>
      <fill>
        <patternFill>
          <bgColor rgb="FFF4D9D4"/>
        </patternFill>
      </fill>
    </dxf>
    <dxf>
      <fill>
        <patternFill>
          <bgColor rgb="FFFBEFD4"/>
        </patternFill>
      </fill>
    </dxf>
    <dxf>
      <fill>
        <patternFill>
          <bgColor rgb="FFEDF3F0"/>
        </patternFill>
      </fill>
    </dxf>
    <dxf>
      <fill>
        <patternFill>
          <bgColor rgb="FFDFEFE3"/>
        </patternFill>
      </fill>
    </dxf>
    <dxf>
      <font>
        <name val="Arial"/>
        <charset val="1"/>
        <family val="0"/>
        <b val="1"/>
        <color rgb="FF9C2A19"/>
        <sz val="11"/>
      </font>
      <fill>
        <patternFill>
          <bgColor rgb="FFF4D9D4"/>
        </patternFill>
      </fill>
    </dxf>
    <dxf>
      <font>
        <name val="Arial"/>
        <charset val="1"/>
        <family val="0"/>
        <b val="1"/>
        <color rgb="FF8A5D00"/>
        <sz val="11"/>
      </font>
      <fill>
        <patternFill>
          <bgColor rgb="FFFBEFD4"/>
        </patternFill>
      </fill>
    </dxf>
    <dxf>
      <font>
        <name val="Arial"/>
        <charset val="1"/>
        <family val="0"/>
        <b val="1"/>
        <color rgb="FF1F4E45"/>
        <sz val="11"/>
      </font>
      <fill>
        <patternFill>
          <bgColor rgb="FFEDF3F0"/>
        </patternFill>
      </fill>
    </dxf>
    <dxf>
      <font>
        <name val="Arial"/>
        <charset val="1"/>
        <family val="0"/>
        <b val="1"/>
        <color rgb="FF1F4E45"/>
        <sz val="11"/>
      </font>
      <fill>
        <patternFill>
          <bgColor rgb="FFDFEFE3"/>
        </patternFill>
      </fill>
    </dxf>
    <dxf>
      <font>
        <name val="Arial"/>
        <charset val="1"/>
        <family val="0"/>
        <color rgb="FFBBBBBB"/>
        <sz val="9"/>
      </font>
      <fill>
        <patternFill>
          <bgColor rgb="FFFAFAFA"/>
        </patternFill>
      </fill>
    </dxf>
    <dxf>
      <font>
        <name val="Arial"/>
        <charset val="1"/>
        <family val="0"/>
        <b val="1"/>
        <color rgb="FF9C2A19"/>
        <sz val="9"/>
      </font>
      <fill>
        <patternFill>
          <bgColor rgb="FFF4D9D4"/>
        </patternFill>
      </fill>
    </dxf>
    <dxf>
      <font>
        <name val="Arial"/>
        <charset val="1"/>
        <family val="0"/>
        <color rgb="FF1F4E45"/>
        <sz val="9"/>
      </font>
      <fill>
        <patternFill>
          <bgColor rgb="FFDFEFE3"/>
        </patternFill>
      </fill>
    </dxf>
  </dxfs>
  <colors>
    <indexedColors>
      <rgbColor rgb="FF000000"/>
      <rgbColor rgb="FFFFFFFF"/>
      <rgbColor rgb="FFFF0000"/>
      <rgbColor rgb="FF00FF00"/>
      <rgbColor rgb="FF0000CC"/>
      <rgbColor rgb="FFFFFF00"/>
      <rgbColor rgb="FFFF00FF"/>
      <rgbColor rgb="FF00FFFF"/>
      <rgbColor rgb="FF800000"/>
      <rgbColor rgb="FF008000"/>
      <rgbColor rgb="FF000080"/>
      <rgbColor rgb="FF8A5D00"/>
      <rgbColor rgb="FF800080"/>
      <rgbColor rgb="FF2B5D4F"/>
      <rgbColor rgb="FFB9C4BE"/>
      <rgbColor rgb="FF878787"/>
      <rgbColor rgb="FF9999FF"/>
      <rgbColor rgb="FF993366"/>
      <rgbColor rgb="FFFFF9E0"/>
      <rgbColor rgb="FFEDF3F0"/>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D9E6E0"/>
      <rgbColor rgb="FFDFEFE3"/>
      <rgbColor rgb="FFFBEFD4"/>
      <rgbColor rgb="FFBBBBBB"/>
      <rgbColor rgb="FFE8E8E6"/>
      <rgbColor rgb="FFFAFAFA"/>
      <rgbColor rgb="FFF4D9D4"/>
      <rgbColor rgb="FF4A7EBB"/>
      <rgbColor rgb="FF33CCCC"/>
      <rgbColor rgb="FF99CC00"/>
      <rgbColor rgb="FFFFCC00"/>
      <rgbColor rgb="FFFF9900"/>
      <rgbColor rgb="FFFF6600"/>
      <rgbColor rgb="FF5A5A58"/>
      <rgbColor rgb="FF969696"/>
      <rgbColor rgb="FF003366"/>
      <rgbColor rgb="FF339966"/>
      <rgbColor rgb="FF003300"/>
      <rgbColor rgb="FF1A1A1A"/>
      <rgbColor rgb="FF9C2A19"/>
      <rgbColor rgb="FF993366"/>
      <rgbColor rgb="FF333399"/>
      <rgbColor rgb="FF1F4E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Tren skor kepatuhan antar ronde</a:t>
            </a:r>
          </a:p>
        </c:rich>
      </c:tx>
      <c:overlay val="0"/>
      <c:spPr>
        <a:noFill/>
        <a:ln w="0">
          <a:noFill/>
        </a:ln>
      </c:spPr>
    </c:title>
    <c:autoTitleDeleted val="0"/>
    <c:plotArea>
      <c:lineChart>
        <c:grouping val="standard"/>
        <c:varyColors val="0"/>
        <c:ser>
          <c:idx val="0"/>
          <c:order val="0"/>
          <c:tx>
            <c:strRef>
              <c:f>'Rekap Tren'!G5</c:f>
              <c:strCache>
                <c:ptCount val="1"/>
                <c:pt idx="0">
                  <c:v>Skor</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'Rekap Tren'!$B$7:$B$31</c:f>
              <c:strCache>
                <c:ptCount val="25"/>
                <c:pt idx="0">
                  <c:v>03/09/2026</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pt idx="24">
                  <c:v/>
                </c:pt>
              </c:strCache>
            </c:strRef>
          </c:cat>
          <c:val>
            <c:numRef>
              <c:f>'Rekap Tren'!$G$6:$G$31</c:f>
              <c:numCache>
                <c:formatCode>0%</c:formatCode>
                <c:ptCount val="26"/>
                <c:pt idx="1">
                  <c:v>0.82</c:v>
                </c:pt>
              </c:numCache>
            </c:numRef>
          </c:val>
          <c:smooth val="1"/>
        </c:ser>
        <c:hiLowLines>
          <c:spPr>
            <a:ln w="0">
              <a:noFill/>
            </a:ln>
          </c:spPr>
        </c:hiLowLines>
        <c:marker val="0"/>
        <c:axId val="24523685"/>
        <c:axId val="89016969"/>
      </c:lineChart>
      <c:catAx>
        <c:axId val="24523685"/>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Tanggal ronde</a:t>
                </a:r>
              </a:p>
            </c:rich>
          </c:tx>
          <c:overlay val="0"/>
          <c:spPr>
            <a:noFill/>
            <a:ln w="0">
              <a:noFill/>
            </a:ln>
          </c:spPr>
        </c:title>
        <c:numFmt formatCode="dd/mm/yyyy"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9016969"/>
        <c:crosses val="autoZero"/>
        <c:auto val="1"/>
        <c:lblAlgn val="ctr"/>
        <c:lblOffset val="100"/>
        <c:noMultiLvlLbl val="0"/>
      </c:catAx>
      <c:valAx>
        <c:axId val="89016969"/>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Skor kepatuhan</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4523685"/>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33</xdr:row>
      <xdr:rowOff>0</xdr:rowOff>
    </xdr:from>
    <xdr:to>
      <xdr:col>6</xdr:col>
      <xdr:colOff>621720</xdr:colOff>
      <xdr:row>47</xdr:row>
      <xdr:rowOff>32760</xdr:rowOff>
    </xdr:to>
    <xdr:graphicFrame>
      <xdr:nvGraphicFramePr>
        <xdr:cNvPr id="0" name="Chart 1"/>
        <xdr:cNvGraphicFramePr/>
      </xdr:nvGraphicFramePr>
      <xdr:xfrm>
        <a:off x="211320" y="6458040"/>
        <a:ext cx="61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5" min="3" style="0" width="26"/>
    <col collapsed="false" customWidth="true" hidden="false" outlineLevel="0" max="6" min="6" style="0" width="20"/>
  </cols>
  <sheetData>
    <row r="2" customFormat="false" ht="25.5" hidden="false" customHeight="true" outlineLevel="0" collapsed="false">
      <c r="B2" s="1" t="s">
        <v>0</v>
      </c>
      <c r="C2" s="1"/>
      <c r="D2" s="1"/>
      <c r="E2" s="1"/>
      <c r="F2" s="1"/>
    </row>
    <row r="3" customFormat="false" ht="18" hidden="false" customHeight="true" outlineLevel="0" collapsed="false">
      <c r="B3" s="2" t="s">
        <v>1</v>
      </c>
      <c r="C3" s="2"/>
      <c r="D3" s="2"/>
      <c r="E3" s="2"/>
      <c r="F3" s="2"/>
    </row>
    <row r="5" customFormat="false" ht="19.5" hidden="false" customHeight="true" outlineLevel="0" collapsed="false">
      <c r="B5" s="3" t="s">
        <v>2</v>
      </c>
      <c r="C5" s="3"/>
      <c r="D5" s="3"/>
      <c r="E5" s="3"/>
      <c r="F5" s="3"/>
    </row>
    <row r="6" customFormat="false" ht="39" hidden="false" customHeight="true" outlineLevel="0" collapsed="false">
      <c r="B6" s="4" t="s">
        <v>3</v>
      </c>
      <c r="C6" s="4"/>
      <c r="D6" s="4"/>
      <c r="E6" s="4"/>
      <c r="F6" s="4"/>
    </row>
    <row r="8" customFormat="false" ht="19.5" hidden="false" customHeight="true" outlineLevel="0" collapsed="false">
      <c r="B8" s="3" t="s">
        <v>4</v>
      </c>
      <c r="C8" s="3"/>
      <c r="D8" s="3"/>
      <c r="E8" s="3"/>
      <c r="F8" s="3"/>
    </row>
    <row r="9" customFormat="false" ht="25.5" hidden="false" customHeight="true" outlineLevel="0" collapsed="false">
      <c r="B9" s="5" t="s">
        <v>5</v>
      </c>
      <c r="C9" s="4" t="s">
        <v>6</v>
      </c>
      <c r="D9" s="4"/>
      <c r="E9" s="4"/>
      <c r="F9" s="4"/>
    </row>
    <row r="10" customFormat="false" ht="39" hidden="false" customHeight="true" outlineLevel="0" collapsed="false">
      <c r="B10" s="5" t="s">
        <v>7</v>
      </c>
      <c r="C10" s="4" t="s">
        <v>8</v>
      </c>
      <c r="D10" s="4"/>
      <c r="E10" s="4"/>
      <c r="F10" s="4"/>
    </row>
    <row r="11" customFormat="false" ht="25.5" hidden="false" customHeight="true" outlineLevel="0" collapsed="false">
      <c r="B11" s="5" t="s">
        <v>9</v>
      </c>
      <c r="C11" s="4" t="s">
        <v>10</v>
      </c>
      <c r="D11" s="4"/>
      <c r="E11" s="4"/>
      <c r="F11" s="4"/>
    </row>
    <row r="12" customFormat="false" ht="25.5" hidden="false" customHeight="true" outlineLevel="0" collapsed="false">
      <c r="B12" s="5" t="s">
        <v>11</v>
      </c>
      <c r="C12" s="4" t="s">
        <v>12</v>
      </c>
      <c r="D12" s="4"/>
      <c r="E12" s="4"/>
      <c r="F12" s="4"/>
    </row>
    <row r="13" customFormat="false" ht="25.5" hidden="false" customHeight="true" outlineLevel="0" collapsed="false">
      <c r="B13" s="5" t="s">
        <v>13</v>
      </c>
      <c r="C13" s="4" t="s">
        <v>14</v>
      </c>
      <c r="D13" s="4"/>
      <c r="E13" s="4"/>
      <c r="F13" s="4"/>
    </row>
    <row r="14" customFormat="false" ht="25.5" hidden="false" customHeight="true" outlineLevel="0" collapsed="false">
      <c r="B14" s="5" t="s">
        <v>15</v>
      </c>
      <c r="C14" s="4" t="s">
        <v>16</v>
      </c>
      <c r="D14" s="4"/>
      <c r="E14" s="4"/>
      <c r="F14" s="4"/>
    </row>
    <row r="16" customFormat="false" ht="19.5" hidden="false" customHeight="true" outlineLevel="0" collapsed="false">
      <c r="B16" s="3" t="s">
        <v>17</v>
      </c>
      <c r="C16" s="3"/>
      <c r="D16" s="3"/>
      <c r="E16" s="3"/>
      <c r="F16" s="3"/>
    </row>
    <row r="17" customFormat="false" ht="15" hidden="false" customHeight="true" outlineLevel="0" collapsed="false">
      <c r="B17" s="6" t="s">
        <v>18</v>
      </c>
      <c r="C17" s="4" t="s">
        <v>19</v>
      </c>
      <c r="D17" s="4"/>
      <c r="E17" s="4"/>
      <c r="F17" s="4"/>
    </row>
    <row r="18" customFormat="false" ht="15" hidden="false" customHeight="true" outlineLevel="0" collapsed="false">
      <c r="B18" s="7" t="s">
        <v>20</v>
      </c>
      <c r="C18" s="4" t="s">
        <v>21</v>
      </c>
      <c r="D18" s="4"/>
      <c r="E18" s="4"/>
      <c r="F18" s="4"/>
    </row>
    <row r="19" customFormat="false" ht="15" hidden="false" customHeight="true" outlineLevel="0" collapsed="false">
      <c r="B19" s="8" t="s">
        <v>22</v>
      </c>
      <c r="C19" s="4" t="s">
        <v>23</v>
      </c>
      <c r="D19" s="4"/>
      <c r="E19" s="4"/>
      <c r="F19" s="4"/>
    </row>
    <row r="20" customFormat="false" ht="15" hidden="false" customHeight="true" outlineLevel="0" collapsed="false">
      <c r="B20" s="9" t="s">
        <v>24</v>
      </c>
      <c r="C20" s="4" t="s">
        <v>25</v>
      </c>
      <c r="D20" s="4"/>
      <c r="E20" s="4"/>
      <c r="F20" s="4"/>
    </row>
    <row r="21" customFormat="false" ht="15" hidden="false" customHeight="true" outlineLevel="0" collapsed="false">
      <c r="B21" s="10" t="s">
        <v>26</v>
      </c>
      <c r="C21" s="4" t="s">
        <v>27</v>
      </c>
      <c r="D21" s="4"/>
      <c r="E21" s="4"/>
      <c r="F21" s="4"/>
    </row>
    <row r="23" customFormat="false" ht="19.5" hidden="false" customHeight="true" outlineLevel="0" collapsed="false">
      <c r="B23" s="3" t="s">
        <v>28</v>
      </c>
      <c r="C23" s="3"/>
      <c r="D23" s="3"/>
      <c r="E23" s="3"/>
      <c r="F23" s="3"/>
    </row>
    <row r="24" customFormat="false" ht="15" hidden="false" customHeight="false" outlineLevel="0" collapsed="false">
      <c r="B24" s="11" t="s">
        <v>29</v>
      </c>
      <c r="C24" s="11" t="s">
        <v>30</v>
      </c>
      <c r="D24" s="11" t="s">
        <v>31</v>
      </c>
      <c r="E24" s="12" t="s">
        <v>32</v>
      </c>
      <c r="F24" s="12"/>
    </row>
    <row r="25" customFormat="false" ht="23.85" hidden="false" customHeight="true" outlineLevel="0" collapsed="false">
      <c r="B25" s="13" t="s">
        <v>33</v>
      </c>
      <c r="C25" s="14" t="n">
        <v>5</v>
      </c>
      <c r="D25" s="14" t="s">
        <v>34</v>
      </c>
      <c r="E25" s="15" t="s">
        <v>35</v>
      </c>
      <c r="F25" s="15"/>
    </row>
    <row r="26" customFormat="false" ht="15" hidden="false" customHeight="true" outlineLevel="0" collapsed="false">
      <c r="B26" s="13" t="s">
        <v>36</v>
      </c>
      <c r="C26" s="14" t="n">
        <v>3</v>
      </c>
      <c r="D26" s="14" t="s">
        <v>37</v>
      </c>
      <c r="E26" s="15" t="s">
        <v>38</v>
      </c>
      <c r="F26" s="15"/>
    </row>
    <row r="27" customFormat="false" ht="15" hidden="false" customHeight="true" outlineLevel="0" collapsed="false">
      <c r="B27" s="13" t="s">
        <v>39</v>
      </c>
      <c r="C27" s="14" t="n">
        <v>1</v>
      </c>
      <c r="D27" s="14" t="s">
        <v>40</v>
      </c>
      <c r="E27" s="15" t="s">
        <v>41</v>
      </c>
      <c r="F27" s="15"/>
    </row>
    <row r="29" customFormat="false" ht="19.5" hidden="false" customHeight="true" outlineLevel="0" collapsed="false">
      <c r="B29" s="3" t="s">
        <v>42</v>
      </c>
      <c r="C29" s="3"/>
      <c r="D29" s="3"/>
      <c r="E29" s="3"/>
      <c r="F29" s="3"/>
    </row>
    <row r="30" customFormat="false" ht="15" hidden="false" customHeight="false" outlineLevel="0" collapsed="false">
      <c r="B30" s="11" t="s">
        <v>43</v>
      </c>
      <c r="C30" s="12" t="s">
        <v>44</v>
      </c>
      <c r="D30" s="12"/>
      <c r="E30" s="12" t="s">
        <v>45</v>
      </c>
      <c r="F30" s="12"/>
    </row>
    <row r="31" customFormat="false" ht="30" hidden="false" customHeight="true" outlineLevel="0" collapsed="false">
      <c r="B31" s="16" t="s">
        <v>46</v>
      </c>
      <c r="C31" s="17" t="s">
        <v>47</v>
      </c>
      <c r="D31" s="17"/>
      <c r="E31" s="18" t="s">
        <v>48</v>
      </c>
      <c r="F31" s="18"/>
    </row>
    <row r="32" customFormat="false" ht="30" hidden="false" customHeight="true" outlineLevel="0" collapsed="false">
      <c r="B32" s="19" t="s">
        <v>49</v>
      </c>
      <c r="C32" s="20" t="s">
        <v>50</v>
      </c>
      <c r="D32" s="20"/>
      <c r="E32" s="21" t="s">
        <v>51</v>
      </c>
      <c r="F32" s="21"/>
    </row>
    <row r="33" customFormat="false" ht="30" hidden="false" customHeight="true" outlineLevel="0" collapsed="false">
      <c r="B33" s="22" t="s">
        <v>52</v>
      </c>
      <c r="C33" s="23" t="s">
        <v>53</v>
      </c>
      <c r="D33" s="23"/>
      <c r="E33" s="24" t="s">
        <v>54</v>
      </c>
      <c r="F33" s="24"/>
    </row>
    <row r="34" customFormat="false" ht="30" hidden="false" customHeight="true" outlineLevel="0" collapsed="false">
      <c r="B34" s="25" t="s">
        <v>55</v>
      </c>
      <c r="C34" s="26" t="s">
        <v>56</v>
      </c>
      <c r="D34" s="26"/>
      <c r="E34" s="27" t="s">
        <v>57</v>
      </c>
      <c r="F34" s="27"/>
    </row>
    <row r="36" customFormat="false" ht="19.5" hidden="false" customHeight="true" outlineLevel="0" collapsed="false">
      <c r="B36" s="3" t="s">
        <v>58</v>
      </c>
      <c r="C36" s="3"/>
      <c r="D36" s="3"/>
      <c r="E36" s="3"/>
      <c r="F36" s="3"/>
    </row>
    <row r="37" customFormat="false" ht="15" hidden="false" customHeight="false" outlineLevel="0" collapsed="false">
      <c r="B37" s="11" t="s">
        <v>59</v>
      </c>
      <c r="C37" s="11" t="s">
        <v>60</v>
      </c>
      <c r="D37" s="12" t="s">
        <v>61</v>
      </c>
      <c r="E37" s="12"/>
      <c r="F37" s="12"/>
    </row>
    <row r="38" customFormat="false" ht="30" hidden="false" customHeight="true" outlineLevel="0" collapsed="false">
      <c r="B38" s="28" t="s">
        <v>62</v>
      </c>
      <c r="C38" s="28" t="s">
        <v>63</v>
      </c>
      <c r="D38" s="29" t="s">
        <v>64</v>
      </c>
      <c r="E38" s="29"/>
      <c r="F38" s="29"/>
    </row>
    <row r="39" customFormat="false" ht="13.5" hidden="false" customHeight="true" outlineLevel="0" collapsed="false">
      <c r="B39" s="30" t="s">
        <v>65</v>
      </c>
      <c r="C39" s="30"/>
      <c r="D39" s="30"/>
      <c r="E39" s="30"/>
      <c r="F39" s="30"/>
    </row>
    <row r="41" customFormat="false" ht="19.5" hidden="false" customHeight="true" outlineLevel="0" collapsed="false">
      <c r="B41" s="3" t="s">
        <v>66</v>
      </c>
      <c r="C41" s="3"/>
      <c r="D41" s="3"/>
      <c r="E41" s="3"/>
      <c r="F41" s="3"/>
    </row>
    <row r="42" customFormat="false" ht="39" hidden="false" customHeight="true" outlineLevel="0" collapsed="false">
      <c r="B42" s="31" t="s">
        <v>67</v>
      </c>
      <c r="C42" s="31"/>
      <c r="D42" s="31"/>
      <c r="E42" s="31"/>
      <c r="F42" s="31"/>
    </row>
    <row r="43" customFormat="false" ht="25.5" hidden="false" customHeight="true" outlineLevel="0" collapsed="false">
      <c r="B43" s="31" t="s">
        <v>68</v>
      </c>
      <c r="C43" s="31"/>
      <c r="D43" s="31"/>
      <c r="E43" s="31"/>
      <c r="F43" s="31"/>
    </row>
    <row r="44" customFormat="false" ht="25.5" hidden="false" customHeight="true" outlineLevel="0" collapsed="false">
      <c r="B44" s="31" t="s">
        <v>69</v>
      </c>
      <c r="C44" s="31"/>
      <c r="D44" s="31"/>
      <c r="E44" s="31"/>
      <c r="F44" s="31"/>
    </row>
    <row r="45" customFormat="false" ht="25.5" hidden="false" customHeight="true" outlineLevel="0" collapsed="false">
      <c r="B45" s="31" t="s">
        <v>70</v>
      </c>
      <c r="C45" s="31"/>
      <c r="D45" s="31"/>
      <c r="E45" s="31"/>
      <c r="F45" s="31"/>
    </row>
    <row r="46" customFormat="false" ht="13.5" hidden="false" customHeight="true" outlineLevel="0" collapsed="false">
      <c r="B46" s="31" t="s">
        <v>71</v>
      </c>
      <c r="C46" s="31"/>
      <c r="D46" s="31"/>
      <c r="E46" s="31"/>
      <c r="F46" s="31"/>
    </row>
    <row r="47" customFormat="false" ht="25.5" hidden="false" customHeight="true" outlineLevel="0" collapsed="false">
      <c r="B47" s="31" t="s">
        <v>72</v>
      </c>
      <c r="C47" s="31"/>
      <c r="D47" s="31"/>
      <c r="E47" s="31"/>
      <c r="F47" s="31"/>
    </row>
    <row r="48" customFormat="false" ht="25.5" hidden="false" customHeight="true" outlineLevel="0" collapsed="false">
      <c r="B48" s="31" t="s">
        <v>73</v>
      </c>
      <c r="C48" s="31"/>
      <c r="D48" s="31"/>
      <c r="E48" s="31"/>
      <c r="F48" s="31"/>
    </row>
  </sheetData>
  <mergeCells count="45">
    <mergeCell ref="B2:F2"/>
    <mergeCell ref="B3:F3"/>
    <mergeCell ref="B5:F5"/>
    <mergeCell ref="B6:F6"/>
    <mergeCell ref="B8:F8"/>
    <mergeCell ref="C9:F9"/>
    <mergeCell ref="C10:F10"/>
    <mergeCell ref="C11:F11"/>
    <mergeCell ref="C12:F12"/>
    <mergeCell ref="C13:F13"/>
    <mergeCell ref="C14:F14"/>
    <mergeCell ref="B16:F16"/>
    <mergeCell ref="C17:F17"/>
    <mergeCell ref="C18:F18"/>
    <mergeCell ref="C19:F19"/>
    <mergeCell ref="C20:F20"/>
    <mergeCell ref="C21:F21"/>
    <mergeCell ref="B23:F23"/>
    <mergeCell ref="E24:F24"/>
    <mergeCell ref="E25:F25"/>
    <mergeCell ref="E26:F26"/>
    <mergeCell ref="E27:F27"/>
    <mergeCell ref="B29:F29"/>
    <mergeCell ref="C30:D30"/>
    <mergeCell ref="E30:F30"/>
    <mergeCell ref="C31:D31"/>
    <mergeCell ref="E31:F31"/>
    <mergeCell ref="C32:D32"/>
    <mergeCell ref="E32:F32"/>
    <mergeCell ref="C33:D33"/>
    <mergeCell ref="E33:F33"/>
    <mergeCell ref="C34:D34"/>
    <mergeCell ref="E34:F34"/>
    <mergeCell ref="B36:F36"/>
    <mergeCell ref="D37:F37"/>
    <mergeCell ref="D38:F38"/>
    <mergeCell ref="B39:F39"/>
    <mergeCell ref="B41:F41"/>
    <mergeCell ref="B42:F42"/>
    <mergeCell ref="B43:F43"/>
    <mergeCell ref="B44:F44"/>
    <mergeCell ref="B45:F45"/>
    <mergeCell ref="B46:F46"/>
    <mergeCell ref="B47:F47"/>
    <mergeCell ref="B48:F48"/>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03"/>
  <sheetViews>
    <sheetView showFormulas="false" showGridLines="false" showRowColHeaders="true" showZeros="true" rightToLeft="false" tabSelected="true" showOutlineSymbols="true" defaultGridColor="true" view="normal" topLeftCell="A27"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62"/>
    <col collapsed="false" customWidth="true" hidden="false" outlineLevel="0" max="3" min="3" style="0" width="10"/>
    <col collapsed="false" customWidth="true" hidden="false" outlineLevel="0" max="4" min="4" style="0" width="11"/>
    <col collapsed="false" customWidth="true" hidden="false" outlineLevel="0" max="5" min="5" style="0" width="34"/>
    <col collapsed="false" customWidth="true" hidden="false" outlineLevel="0" max="7" min="6" style="0" width="7"/>
    <col collapsed="false" customWidth="true" hidden="false" outlineLevel="0" max="8" min="8" style="0" width="8"/>
  </cols>
  <sheetData>
    <row r="1" customFormat="false" ht="25.5" hidden="false" customHeight="true" outlineLevel="0" collapsed="false">
      <c r="A1" s="1" t="s">
        <v>74</v>
      </c>
      <c r="B1" s="1"/>
      <c r="C1" s="1"/>
      <c r="D1" s="1"/>
      <c r="E1" s="1"/>
      <c r="F1" s="1"/>
      <c r="G1" s="1"/>
      <c r="H1" s="1"/>
    </row>
    <row r="2" customFormat="false" ht="18" hidden="false" customHeight="true" outlineLevel="0" collapsed="false">
      <c r="A2" s="2" t="s">
        <v>75</v>
      </c>
      <c r="B2" s="2"/>
      <c r="C2" s="2"/>
      <c r="D2" s="2"/>
      <c r="E2" s="2"/>
      <c r="F2" s="2"/>
      <c r="G2" s="2"/>
      <c r="H2" s="2"/>
    </row>
    <row r="4" customFormat="false" ht="16.5" hidden="false" customHeight="true" outlineLevel="0" collapsed="false">
      <c r="B4" s="32" t="s">
        <v>76</v>
      </c>
      <c r="C4" s="28"/>
      <c r="D4" s="28"/>
      <c r="E4" s="28"/>
      <c r="F4" s="33" t="s">
        <v>77</v>
      </c>
      <c r="G4" s="33"/>
      <c r="H4" s="33"/>
    </row>
    <row r="5" customFormat="false" ht="16.5" hidden="false" customHeight="true" outlineLevel="0" collapsed="false">
      <c r="B5" s="32" t="s">
        <v>78</v>
      </c>
      <c r="C5" s="28"/>
      <c r="D5" s="28"/>
      <c r="E5" s="28"/>
      <c r="F5" s="34" t="str">
        <f aca="false">$C$88</f>
        <v/>
      </c>
      <c r="G5" s="34"/>
      <c r="H5" s="34"/>
    </row>
    <row r="6" customFormat="false" ht="16.5" hidden="false" customHeight="true" outlineLevel="0" collapsed="false">
      <c r="B6" s="32" t="s">
        <v>79</v>
      </c>
      <c r="C6" s="28"/>
      <c r="D6" s="28"/>
      <c r="E6" s="28"/>
      <c r="F6" s="34"/>
      <c r="G6" s="34"/>
      <c r="H6" s="34"/>
    </row>
    <row r="7" customFormat="false" ht="16.5" hidden="false" customHeight="true" outlineLevel="0" collapsed="false">
      <c r="B7" s="32" t="s">
        <v>80</v>
      </c>
      <c r="C7" s="35"/>
      <c r="D7" s="35"/>
      <c r="E7" s="35"/>
      <c r="F7" s="33" t="s">
        <v>81</v>
      </c>
      <c r="G7" s="33"/>
      <c r="H7" s="33"/>
    </row>
    <row r="8" customFormat="false" ht="16.5" hidden="false" customHeight="true" outlineLevel="0" collapsed="false">
      <c r="B8" s="32" t="s">
        <v>82</v>
      </c>
      <c r="C8" s="36"/>
      <c r="D8" s="36"/>
      <c r="E8" s="36"/>
      <c r="F8" s="37" t="str">
        <f aca="false">$C$94</f>
        <v>Belum dinilai</v>
      </c>
      <c r="G8" s="37"/>
      <c r="H8" s="37"/>
    </row>
    <row r="9" customFormat="false" ht="16.5" hidden="false" customHeight="true" outlineLevel="0" collapsed="false">
      <c r="B9" s="32" t="s">
        <v>83</v>
      </c>
      <c r="C9" s="28"/>
      <c r="D9" s="28"/>
      <c r="E9" s="28"/>
      <c r="F9" s="37"/>
      <c r="G9" s="37"/>
      <c r="H9" s="37"/>
    </row>
    <row r="10" customFormat="false" ht="16.5" hidden="false" customHeight="true" outlineLevel="0" collapsed="false">
      <c r="B10" s="32" t="s">
        <v>84</v>
      </c>
      <c r="C10" s="28"/>
      <c r="D10" s="28"/>
      <c r="E10" s="28"/>
      <c r="F10" s="38" t="str">
        <f aca="false">$C$95</f>
        <v>Isi minimal satu butir untuk memulai penilaian.</v>
      </c>
      <c r="G10" s="38"/>
      <c r="H10" s="38"/>
    </row>
    <row r="11" customFormat="false" ht="16.5" hidden="false" customHeight="true" outlineLevel="0" collapsed="false">
      <c r="B11" s="32" t="s">
        <v>85</v>
      </c>
      <c r="C11" s="39" t="str">
        <f aca="false">IFERROR(INDEX('Acuan ICRA'!$C$6:$F$9,MATCH(LEFT($C$10,1),'Acuan ICRA'!$A$6:$A$9,0),MATCH(LEFT($C$9,1),'Acuan ICRA'!$C$5:$F$5,0)),"")</f>
        <v/>
      </c>
      <c r="D11" s="39"/>
      <c r="E11" s="39"/>
      <c r="F11" s="38"/>
      <c r="G11" s="38"/>
      <c r="H11" s="38"/>
    </row>
    <row r="12" customFormat="false" ht="16.5" hidden="false" customHeight="true" outlineLevel="0" collapsed="false">
      <c r="B12" s="32" t="s">
        <v>86</v>
      </c>
      <c r="C12" s="28"/>
      <c r="D12" s="28"/>
      <c r="E12" s="28"/>
      <c r="F12" s="38"/>
      <c r="G12" s="38"/>
      <c r="H12" s="38"/>
    </row>
    <row r="13" customFormat="false" ht="16.5" hidden="false" customHeight="true" outlineLevel="0" collapsed="false">
      <c r="B13" s="32" t="s">
        <v>87</v>
      </c>
      <c r="C13" s="28"/>
      <c r="D13" s="28"/>
      <c r="E13" s="28"/>
    </row>
    <row r="14" customFormat="false" ht="16.5" hidden="false" customHeight="true" outlineLevel="0" collapsed="false">
      <c r="B14" s="32" t="s">
        <v>88</v>
      </c>
      <c r="C14" s="28"/>
      <c r="D14" s="28"/>
      <c r="E14" s="28"/>
    </row>
    <row r="16" customFormat="false" ht="19.5" hidden="false" customHeight="true" outlineLevel="0" collapsed="false">
      <c r="A16" s="3" t="s">
        <v>89</v>
      </c>
      <c r="B16" s="3"/>
      <c r="C16" s="3"/>
      <c r="D16" s="3"/>
      <c r="E16" s="3"/>
      <c r="F16" s="3"/>
      <c r="G16" s="3"/>
      <c r="H16" s="3"/>
    </row>
    <row r="17" customFormat="false" ht="15" hidden="false" customHeight="false" outlineLevel="0" collapsed="false">
      <c r="B17" s="33" t="s">
        <v>90</v>
      </c>
      <c r="C17" s="33" t="s">
        <v>60</v>
      </c>
      <c r="D17" s="33" t="s">
        <v>91</v>
      </c>
      <c r="E17" s="33" t="s">
        <v>92</v>
      </c>
      <c r="F17" s="33" t="s">
        <v>93</v>
      </c>
      <c r="G17" s="33"/>
      <c r="H17" s="33"/>
    </row>
    <row r="18" customFormat="false" ht="15.75" hidden="false" customHeight="true" outlineLevel="0" collapsed="false">
      <c r="B18" s="40" t="s">
        <v>94</v>
      </c>
      <c r="C18" s="41"/>
      <c r="D18" s="14" t="s">
        <v>95</v>
      </c>
      <c r="E18" s="42" t="s">
        <v>96</v>
      </c>
      <c r="F18" s="43" t="str">
        <f aca="false">IF($C18="","—",IF($C18&lt;=-2.5,"Dalam rentang","Di luar rentang"))</f>
        <v>—</v>
      </c>
      <c r="G18" s="43"/>
      <c r="H18" s="43"/>
    </row>
    <row r="19" customFormat="false" ht="15.75" hidden="false" customHeight="true" outlineLevel="0" collapsed="false">
      <c r="B19" s="40" t="s">
        <v>97</v>
      </c>
      <c r="C19" s="41"/>
      <c r="D19" s="14" t="s">
        <v>98</v>
      </c>
      <c r="E19" s="42" t="s">
        <v>99</v>
      </c>
      <c r="F19" s="43" t="str">
        <f aca="false">IF($C19="","—",IF($C19&gt;=12,"Dalam rentang","Di luar rentang"))</f>
        <v>—</v>
      </c>
      <c r="G19" s="43"/>
      <c r="H19" s="43"/>
    </row>
    <row r="20" customFormat="false" ht="15.75" hidden="false" customHeight="true" outlineLevel="0" collapsed="false">
      <c r="B20" s="40" t="s">
        <v>100</v>
      </c>
      <c r="C20" s="41"/>
      <c r="D20" s="14" t="s">
        <v>101</v>
      </c>
      <c r="E20" s="42" t="s">
        <v>102</v>
      </c>
      <c r="F20" s="43" t="str">
        <f aca="false">IF($C20="","—",IF(AND($C20&gt;=30,$C20&lt;=60),"Dalam rentang","Di luar rentang"))</f>
        <v>—</v>
      </c>
      <c r="G20" s="43"/>
      <c r="H20" s="43"/>
    </row>
    <row r="21" customFormat="false" ht="15.75" hidden="false" customHeight="true" outlineLevel="0" collapsed="false">
      <c r="B21" s="40" t="s">
        <v>103</v>
      </c>
      <c r="C21" s="41"/>
      <c r="D21" s="14" t="s">
        <v>104</v>
      </c>
      <c r="E21" s="42" t="s">
        <v>105</v>
      </c>
      <c r="F21" s="43" t="str">
        <f aca="false">IF($C21="","—",IF(AND($C21&gt;=20,$C21&lt;=24),"Dalam rentang","Di luar rentang"))</f>
        <v>—</v>
      </c>
      <c r="G21" s="43"/>
      <c r="H21" s="43"/>
    </row>
    <row r="22" customFormat="false" ht="15.75" hidden="false" customHeight="true" outlineLevel="0" collapsed="false">
      <c r="B22" s="40" t="s">
        <v>106</v>
      </c>
      <c r="C22" s="41"/>
      <c r="D22" s="14" t="s">
        <v>104</v>
      </c>
      <c r="E22" s="42" t="s">
        <v>107</v>
      </c>
      <c r="F22" s="43" t="str">
        <f aca="false">IF($C22="","—",IF($C22&gt;=55,"Dalam rentang","Di luar rentang"))</f>
        <v>—</v>
      </c>
      <c r="G22" s="43"/>
      <c r="H22" s="43"/>
    </row>
    <row r="23" customFormat="false" ht="15.75" hidden="false" customHeight="true" outlineLevel="0" collapsed="false">
      <c r="B23" s="40" t="s">
        <v>108</v>
      </c>
      <c r="C23" s="41"/>
      <c r="D23" s="14" t="s">
        <v>104</v>
      </c>
      <c r="E23" s="42" t="s">
        <v>109</v>
      </c>
      <c r="F23" s="43" t="str">
        <f aca="false">IF($C23="","—",IF($C23&lt;=25,"Dalam rentang","Di luar rentang"))</f>
        <v>—</v>
      </c>
      <c r="G23" s="43"/>
      <c r="H23" s="43"/>
    </row>
    <row r="25" customFormat="false" ht="19.5" hidden="false" customHeight="true" outlineLevel="0" collapsed="false">
      <c r="A25" s="3" t="s">
        <v>110</v>
      </c>
      <c r="B25" s="3"/>
      <c r="C25" s="3"/>
      <c r="D25" s="3"/>
      <c r="E25" s="3"/>
      <c r="F25" s="3"/>
      <c r="G25" s="3"/>
      <c r="H25" s="3"/>
    </row>
    <row r="26" customFormat="false" ht="25.5" hidden="false" customHeight="true" outlineLevel="0" collapsed="false">
      <c r="A26" s="44" t="s">
        <v>59</v>
      </c>
      <c r="B26" s="44" t="s">
        <v>111</v>
      </c>
      <c r="C26" s="44" t="s">
        <v>29</v>
      </c>
      <c r="D26" s="44" t="s">
        <v>60</v>
      </c>
      <c r="E26" s="44" t="s">
        <v>61</v>
      </c>
      <c r="F26" s="44" t="s">
        <v>112</v>
      </c>
      <c r="G26" s="44" t="s">
        <v>113</v>
      </c>
      <c r="H26" s="44" t="s">
        <v>114</v>
      </c>
    </row>
    <row r="27" customFormat="false" ht="18" hidden="false" customHeight="true" outlineLevel="0" collapsed="false">
      <c r="A27" s="45" t="s">
        <v>115</v>
      </c>
      <c r="B27" s="45"/>
      <c r="C27" s="45"/>
      <c r="D27" s="45"/>
      <c r="E27" s="45"/>
      <c r="F27" s="45"/>
      <c r="G27" s="45"/>
      <c r="H27" s="45"/>
    </row>
    <row r="28" customFormat="false" ht="24.75" hidden="false" customHeight="true" outlineLevel="0" collapsed="false">
      <c r="A28" s="46" t="s">
        <v>116</v>
      </c>
      <c r="B28" s="15" t="s">
        <v>117</v>
      </c>
      <c r="C28" s="47" t="s">
        <v>33</v>
      </c>
      <c r="D28" s="41"/>
      <c r="E28" s="48"/>
      <c r="F28" s="46" t="str">
        <f aca="false">IF($D28="","",IF($D28="N/A",0,IF($C28="Kritis",5,IF($C28="Mayor",3,1))))</f>
        <v/>
      </c>
      <c r="G28" s="46" t="str">
        <f aca="false">IF($D28="","",IF($D28="Sesuai",$F28,0))</f>
        <v/>
      </c>
      <c r="H28" s="46" t="str">
        <f aca="false">IF($D28="Tidak",COUNTIF($D$27:$D28,"Tidak"),"")</f>
        <v/>
      </c>
    </row>
    <row r="29" customFormat="false" ht="24.75" hidden="false" customHeight="true" outlineLevel="0" collapsed="false">
      <c r="A29" s="46" t="s">
        <v>118</v>
      </c>
      <c r="B29" s="15" t="s">
        <v>119</v>
      </c>
      <c r="C29" s="47" t="s">
        <v>33</v>
      </c>
      <c r="D29" s="41"/>
      <c r="E29" s="48"/>
      <c r="F29" s="46" t="str">
        <f aca="false">IF($D29="","",IF($D29="N/A",0,IF($C29="Kritis",5,IF($C29="Mayor",3,1))))</f>
        <v/>
      </c>
      <c r="G29" s="46" t="str">
        <f aca="false">IF($D29="","",IF($D29="Sesuai",$F29,0))</f>
        <v/>
      </c>
      <c r="H29" s="46" t="str">
        <f aca="false">IF($D29="Tidak",COUNTIF($D$27:$D29,"Tidak"),"")</f>
        <v/>
      </c>
    </row>
    <row r="30" customFormat="false" ht="24.75" hidden="false" customHeight="true" outlineLevel="0" collapsed="false">
      <c r="A30" s="46" t="s">
        <v>120</v>
      </c>
      <c r="B30" s="15" t="s">
        <v>121</v>
      </c>
      <c r="C30" s="47" t="s">
        <v>33</v>
      </c>
      <c r="D30" s="41"/>
      <c r="E30" s="48"/>
      <c r="F30" s="46" t="str">
        <f aca="false">IF($D30="","",IF($D30="N/A",0,IF($C30="Kritis",5,IF($C30="Mayor",3,1))))</f>
        <v/>
      </c>
      <c r="G30" s="46" t="str">
        <f aca="false">IF($D30="","",IF($D30="Sesuai",$F30,0))</f>
        <v/>
      </c>
      <c r="H30" s="46" t="str">
        <f aca="false">IF($D30="Tidak",COUNTIF($D$27:$D30,"Tidak"),"")</f>
        <v/>
      </c>
    </row>
    <row r="31" customFormat="false" ht="24.75" hidden="false" customHeight="true" outlineLevel="0" collapsed="false">
      <c r="A31" s="46" t="s">
        <v>122</v>
      </c>
      <c r="B31" s="15" t="s">
        <v>123</v>
      </c>
      <c r="C31" s="47" t="s">
        <v>33</v>
      </c>
      <c r="D31" s="41"/>
      <c r="E31" s="48"/>
      <c r="F31" s="46" t="str">
        <f aca="false">IF($D31="","",IF($D31="N/A",0,IF($C31="Kritis",5,IF($C31="Mayor",3,1))))</f>
        <v/>
      </c>
      <c r="G31" s="46" t="str">
        <f aca="false">IF($D31="","",IF($D31="Sesuai",$F31,0))</f>
        <v/>
      </c>
      <c r="H31" s="46" t="str">
        <f aca="false">IF($D31="Tidak",COUNTIF($D$27:$D31,"Tidak"),"")</f>
        <v/>
      </c>
    </row>
    <row r="32" customFormat="false" ht="24.75" hidden="false" customHeight="true" outlineLevel="0" collapsed="false">
      <c r="A32" s="46" t="s">
        <v>124</v>
      </c>
      <c r="B32" s="15" t="s">
        <v>125</v>
      </c>
      <c r="C32" s="49" t="s">
        <v>36</v>
      </c>
      <c r="D32" s="41"/>
      <c r="E32" s="48"/>
      <c r="F32" s="46" t="str">
        <f aca="false">IF($D32="","",IF($D32="N/A",0,IF($C32="Kritis",5,IF($C32="Mayor",3,1))))</f>
        <v/>
      </c>
      <c r="G32" s="46" t="str">
        <f aca="false">IF($D32="","",IF($D32="Sesuai",$F32,0))</f>
        <v/>
      </c>
      <c r="H32" s="46" t="str">
        <f aca="false">IF($D32="Tidak",COUNTIF($D$27:$D32,"Tidak"),"")</f>
        <v/>
      </c>
    </row>
    <row r="33" customFormat="false" ht="24.75" hidden="false" customHeight="true" outlineLevel="0" collapsed="false">
      <c r="A33" s="46" t="s">
        <v>126</v>
      </c>
      <c r="B33" s="15" t="s">
        <v>127</v>
      </c>
      <c r="C33" s="49" t="s">
        <v>36</v>
      </c>
      <c r="D33" s="41"/>
      <c r="E33" s="48"/>
      <c r="F33" s="46" t="str">
        <f aca="false">IF($D33="","",IF($D33="N/A",0,IF($C33="Kritis",5,IF($C33="Mayor",3,1))))</f>
        <v/>
      </c>
      <c r="G33" s="46" t="str">
        <f aca="false">IF($D33="","",IF($D33="Sesuai",$F33,0))</f>
        <v/>
      </c>
      <c r="H33" s="46" t="str">
        <f aca="false">IF($D33="Tidak",COUNTIF($D$27:$D33,"Tidak"),"")</f>
        <v/>
      </c>
    </row>
    <row r="34" customFormat="false" ht="24.75" hidden="false" customHeight="true" outlineLevel="0" collapsed="false">
      <c r="A34" s="46" t="s">
        <v>128</v>
      </c>
      <c r="B34" s="15" t="s">
        <v>129</v>
      </c>
      <c r="C34" s="49" t="s">
        <v>36</v>
      </c>
      <c r="D34" s="41"/>
      <c r="E34" s="48"/>
      <c r="F34" s="46" t="str">
        <f aca="false">IF($D34="","",IF($D34="N/A",0,IF($C34="Kritis",5,IF($C34="Mayor",3,1))))</f>
        <v/>
      </c>
      <c r="G34" s="46" t="str">
        <f aca="false">IF($D34="","",IF($D34="Sesuai",$F34,0))</f>
        <v/>
      </c>
      <c r="H34" s="46" t="str">
        <f aca="false">IF($D34="Tidak",COUNTIF($D$27:$D34,"Tidak"),"")</f>
        <v/>
      </c>
    </row>
    <row r="35" customFormat="false" ht="24.75" hidden="false" customHeight="true" outlineLevel="0" collapsed="false">
      <c r="A35" s="46" t="s">
        <v>130</v>
      </c>
      <c r="B35" s="15" t="s">
        <v>131</v>
      </c>
      <c r="C35" s="49" t="s">
        <v>36</v>
      </c>
      <c r="D35" s="41"/>
      <c r="E35" s="48"/>
      <c r="F35" s="46" t="str">
        <f aca="false">IF($D35="","",IF($D35="N/A",0,IF($C35="Kritis",5,IF($C35="Mayor",3,1))))</f>
        <v/>
      </c>
      <c r="G35" s="46" t="str">
        <f aca="false">IF($D35="","",IF($D35="Sesuai",$F35,0))</f>
        <v/>
      </c>
      <c r="H35" s="46" t="str">
        <f aca="false">IF($D35="Tidak",COUNTIF($D$27:$D35,"Tidak"),"")</f>
        <v/>
      </c>
    </row>
    <row r="36" customFormat="false" ht="24.75" hidden="false" customHeight="true" outlineLevel="0" collapsed="false">
      <c r="A36" s="46" t="s">
        <v>132</v>
      </c>
      <c r="B36" s="15" t="s">
        <v>133</v>
      </c>
      <c r="C36" s="50" t="s">
        <v>39</v>
      </c>
      <c r="D36" s="41"/>
      <c r="E36" s="48"/>
      <c r="F36" s="46" t="str">
        <f aca="false">IF($D36="","",IF($D36="N/A",0,IF($C36="Kritis",5,IF($C36="Mayor",3,1))))</f>
        <v/>
      </c>
      <c r="G36" s="46" t="str">
        <f aca="false">IF($D36="","",IF($D36="Sesuai",$F36,0))</f>
        <v/>
      </c>
      <c r="H36" s="46" t="str">
        <f aca="false">IF($D36="Tidak",COUNTIF($D$27:$D36,"Tidak"),"")</f>
        <v/>
      </c>
    </row>
    <row r="37" customFormat="false" ht="24.75" hidden="false" customHeight="true" outlineLevel="0" collapsed="false">
      <c r="A37" s="46" t="s">
        <v>134</v>
      </c>
      <c r="B37" s="15" t="s">
        <v>135</v>
      </c>
      <c r="C37" s="50" t="s">
        <v>39</v>
      </c>
      <c r="D37" s="41"/>
      <c r="E37" s="48"/>
      <c r="F37" s="46" t="str">
        <f aca="false">IF($D37="","",IF($D37="N/A",0,IF($C37="Kritis",5,IF($C37="Mayor",3,1))))</f>
        <v/>
      </c>
      <c r="G37" s="46" t="str">
        <f aca="false">IF($D37="","",IF($D37="Sesuai",$F37,0))</f>
        <v/>
      </c>
      <c r="H37" s="46" t="str">
        <f aca="false">IF($D37="Tidak",COUNTIF($D$27:$D37,"Tidak"),"")</f>
        <v/>
      </c>
    </row>
    <row r="38" customFormat="false" ht="18" hidden="false" customHeight="true" outlineLevel="0" collapsed="false">
      <c r="A38" s="45" t="s">
        <v>136</v>
      </c>
      <c r="B38" s="45"/>
      <c r="C38" s="45"/>
      <c r="D38" s="45"/>
      <c r="E38" s="45"/>
      <c r="F38" s="45"/>
      <c r="G38" s="45"/>
      <c r="H38" s="45"/>
    </row>
    <row r="39" customFormat="false" ht="24.75" hidden="false" customHeight="true" outlineLevel="0" collapsed="false">
      <c r="A39" s="46" t="s">
        <v>137</v>
      </c>
      <c r="B39" s="15" t="s">
        <v>138</v>
      </c>
      <c r="C39" s="47" t="s">
        <v>33</v>
      </c>
      <c r="D39" s="41"/>
      <c r="E39" s="48"/>
      <c r="F39" s="46" t="str">
        <f aca="false">IF($D39="","",IF($D39="N/A",0,IF($C39="Kritis",5,IF($C39="Mayor",3,1))))</f>
        <v/>
      </c>
      <c r="G39" s="46" t="str">
        <f aca="false">IF($D39="","",IF($D39="Sesuai",$F39,0))</f>
        <v/>
      </c>
      <c r="H39" s="46" t="str">
        <f aca="false">IF($D39="Tidak",COUNTIF($D$27:$D39,"Tidak"),"")</f>
        <v/>
      </c>
    </row>
    <row r="40" customFormat="false" ht="24.75" hidden="false" customHeight="true" outlineLevel="0" collapsed="false">
      <c r="A40" s="46" t="s">
        <v>139</v>
      </c>
      <c r="B40" s="15" t="s">
        <v>140</v>
      </c>
      <c r="C40" s="47" t="s">
        <v>33</v>
      </c>
      <c r="D40" s="41"/>
      <c r="E40" s="48"/>
      <c r="F40" s="46" t="str">
        <f aca="false">IF($D40="","",IF($D40="N/A",0,IF($C40="Kritis",5,IF($C40="Mayor",3,1))))</f>
        <v/>
      </c>
      <c r="G40" s="46" t="str">
        <f aca="false">IF($D40="","",IF($D40="Sesuai",$F40,0))</f>
        <v/>
      </c>
      <c r="H40" s="46" t="str">
        <f aca="false">IF($D40="Tidak",COUNTIF($D$27:$D40,"Tidak"),"")</f>
        <v/>
      </c>
    </row>
    <row r="41" customFormat="false" ht="24.75" hidden="false" customHeight="true" outlineLevel="0" collapsed="false">
      <c r="A41" s="46" t="s">
        <v>141</v>
      </c>
      <c r="B41" s="15" t="s">
        <v>142</v>
      </c>
      <c r="C41" s="49" t="s">
        <v>36</v>
      </c>
      <c r="D41" s="41"/>
      <c r="E41" s="48"/>
      <c r="F41" s="46" t="str">
        <f aca="false">IF($D41="","",IF($D41="N/A",0,IF($C41="Kritis",5,IF($C41="Mayor",3,1))))</f>
        <v/>
      </c>
      <c r="G41" s="46" t="str">
        <f aca="false">IF($D41="","",IF($D41="Sesuai",$F41,0))</f>
        <v/>
      </c>
      <c r="H41" s="46" t="str">
        <f aca="false">IF($D41="Tidak",COUNTIF($D$27:$D41,"Tidak"),"")</f>
        <v/>
      </c>
    </row>
    <row r="42" customFormat="false" ht="24.75" hidden="false" customHeight="true" outlineLevel="0" collapsed="false">
      <c r="A42" s="46" t="s">
        <v>143</v>
      </c>
      <c r="B42" s="15" t="s">
        <v>144</v>
      </c>
      <c r="C42" s="49" t="s">
        <v>36</v>
      </c>
      <c r="D42" s="41"/>
      <c r="E42" s="48"/>
      <c r="F42" s="46" t="str">
        <f aca="false">IF($D42="","",IF($D42="N/A",0,IF($C42="Kritis",5,IF($C42="Mayor",3,1))))</f>
        <v/>
      </c>
      <c r="G42" s="46" t="str">
        <f aca="false">IF($D42="","",IF($D42="Sesuai",$F42,0))</f>
        <v/>
      </c>
      <c r="H42" s="46" t="str">
        <f aca="false">IF($D42="Tidak",COUNTIF($D$27:$D42,"Tidak"),"")</f>
        <v/>
      </c>
    </row>
    <row r="43" customFormat="false" ht="24.75" hidden="false" customHeight="true" outlineLevel="0" collapsed="false">
      <c r="A43" s="46" t="s">
        <v>145</v>
      </c>
      <c r="B43" s="15" t="s">
        <v>146</v>
      </c>
      <c r="C43" s="49" t="s">
        <v>36</v>
      </c>
      <c r="D43" s="41"/>
      <c r="E43" s="48"/>
      <c r="F43" s="46" t="str">
        <f aca="false">IF($D43="","",IF($D43="N/A",0,IF($C43="Kritis",5,IF($C43="Mayor",3,1))))</f>
        <v/>
      </c>
      <c r="G43" s="46" t="str">
        <f aca="false">IF($D43="","",IF($D43="Sesuai",$F43,0))</f>
        <v/>
      </c>
      <c r="H43" s="46" t="str">
        <f aca="false">IF($D43="Tidak",COUNTIF($D$27:$D43,"Tidak"),"")</f>
        <v/>
      </c>
    </row>
    <row r="44" customFormat="false" ht="24.75" hidden="false" customHeight="true" outlineLevel="0" collapsed="false">
      <c r="A44" s="46" t="s">
        <v>147</v>
      </c>
      <c r="B44" s="15" t="s">
        <v>148</v>
      </c>
      <c r="C44" s="49" t="s">
        <v>36</v>
      </c>
      <c r="D44" s="41"/>
      <c r="E44" s="48"/>
      <c r="F44" s="46" t="str">
        <f aca="false">IF($D44="","",IF($D44="N/A",0,IF($C44="Kritis",5,IF($C44="Mayor",3,1))))</f>
        <v/>
      </c>
      <c r="G44" s="46" t="str">
        <f aca="false">IF($D44="","",IF($D44="Sesuai",$F44,0))</f>
        <v/>
      </c>
      <c r="H44" s="46" t="str">
        <f aca="false">IF($D44="Tidak",COUNTIF($D$27:$D44,"Tidak"),"")</f>
        <v/>
      </c>
    </row>
    <row r="45" customFormat="false" ht="24.75" hidden="false" customHeight="true" outlineLevel="0" collapsed="false">
      <c r="A45" s="46" t="s">
        <v>149</v>
      </c>
      <c r="B45" s="15" t="s">
        <v>150</v>
      </c>
      <c r="C45" s="49" t="s">
        <v>36</v>
      </c>
      <c r="D45" s="41"/>
      <c r="E45" s="48"/>
      <c r="F45" s="46" t="str">
        <f aca="false">IF($D45="","",IF($D45="N/A",0,IF($C45="Kritis",5,IF($C45="Mayor",3,1))))</f>
        <v/>
      </c>
      <c r="G45" s="46" t="str">
        <f aca="false">IF($D45="","",IF($D45="Sesuai",$F45,0))</f>
        <v/>
      </c>
      <c r="H45" s="46" t="str">
        <f aca="false">IF($D45="Tidak",COUNTIF($D$27:$D45,"Tidak"),"")</f>
        <v/>
      </c>
    </row>
    <row r="46" customFormat="false" ht="16.5" hidden="false" customHeight="true" outlineLevel="0" collapsed="false">
      <c r="A46" s="46" t="s">
        <v>151</v>
      </c>
      <c r="B46" s="15" t="s">
        <v>152</v>
      </c>
      <c r="C46" s="50" t="s">
        <v>39</v>
      </c>
      <c r="D46" s="41"/>
      <c r="E46" s="48"/>
      <c r="F46" s="46" t="str">
        <f aca="false">IF($D46="","",IF($D46="N/A",0,IF($C46="Kritis",5,IF($C46="Mayor",3,1))))</f>
        <v/>
      </c>
      <c r="G46" s="46" t="str">
        <f aca="false">IF($D46="","",IF($D46="Sesuai",$F46,0))</f>
        <v/>
      </c>
      <c r="H46" s="46" t="str">
        <f aca="false">IF($D46="Tidak",COUNTIF($D$27:$D46,"Tidak"),"")</f>
        <v/>
      </c>
    </row>
    <row r="47" customFormat="false" ht="18" hidden="false" customHeight="true" outlineLevel="0" collapsed="false">
      <c r="A47" s="45" t="s">
        <v>153</v>
      </c>
      <c r="B47" s="45"/>
      <c r="C47" s="45"/>
      <c r="D47" s="45"/>
      <c r="E47" s="45"/>
      <c r="F47" s="45"/>
      <c r="G47" s="45"/>
      <c r="H47" s="45"/>
    </row>
    <row r="48" customFormat="false" ht="24.75" hidden="false" customHeight="true" outlineLevel="0" collapsed="false">
      <c r="A48" s="46" t="s">
        <v>154</v>
      </c>
      <c r="B48" s="15" t="s">
        <v>155</v>
      </c>
      <c r="C48" s="47" t="s">
        <v>33</v>
      </c>
      <c r="D48" s="41"/>
      <c r="E48" s="48"/>
      <c r="F48" s="46" t="str">
        <f aca="false">IF($D48="","",IF($D48="N/A",0,IF($C48="Kritis",5,IF($C48="Mayor",3,1))))</f>
        <v/>
      </c>
      <c r="G48" s="46" t="str">
        <f aca="false">IF($D48="","",IF($D48="Sesuai",$F48,0))</f>
        <v/>
      </c>
      <c r="H48" s="46" t="str">
        <f aca="false">IF($D48="Tidak",COUNTIF($D$27:$D48,"Tidak"),"")</f>
        <v/>
      </c>
    </row>
    <row r="49" customFormat="false" ht="24.75" hidden="false" customHeight="true" outlineLevel="0" collapsed="false">
      <c r="A49" s="46" t="s">
        <v>156</v>
      </c>
      <c r="B49" s="15" t="s">
        <v>157</v>
      </c>
      <c r="C49" s="47" t="s">
        <v>33</v>
      </c>
      <c r="D49" s="41"/>
      <c r="E49" s="48"/>
      <c r="F49" s="46" t="str">
        <f aca="false">IF($D49="","",IF($D49="N/A",0,IF($C49="Kritis",5,IF($C49="Mayor",3,1))))</f>
        <v/>
      </c>
      <c r="G49" s="46" t="str">
        <f aca="false">IF($D49="","",IF($D49="Sesuai",$F49,0))</f>
        <v/>
      </c>
      <c r="H49" s="46" t="str">
        <f aca="false">IF($D49="Tidak",COUNTIF($D$27:$D49,"Tidak"),"")</f>
        <v/>
      </c>
    </row>
    <row r="50" customFormat="false" ht="24.75" hidden="false" customHeight="true" outlineLevel="0" collapsed="false">
      <c r="A50" s="46" t="s">
        <v>158</v>
      </c>
      <c r="B50" s="15" t="s">
        <v>159</v>
      </c>
      <c r="C50" s="47" t="s">
        <v>33</v>
      </c>
      <c r="D50" s="41"/>
      <c r="E50" s="48"/>
      <c r="F50" s="46" t="str">
        <f aca="false">IF($D50="","",IF($D50="N/A",0,IF($C50="Kritis",5,IF($C50="Mayor",3,1))))</f>
        <v/>
      </c>
      <c r="G50" s="46" t="str">
        <f aca="false">IF($D50="","",IF($D50="Sesuai",$F50,0))</f>
        <v/>
      </c>
      <c r="H50" s="46" t="str">
        <f aca="false">IF($D50="Tidak",COUNTIF($D$27:$D50,"Tidak"),"")</f>
        <v/>
      </c>
    </row>
    <row r="51" customFormat="false" ht="24.75" hidden="false" customHeight="true" outlineLevel="0" collapsed="false">
      <c r="A51" s="46" t="s">
        <v>160</v>
      </c>
      <c r="B51" s="15" t="s">
        <v>161</v>
      </c>
      <c r="C51" s="49" t="s">
        <v>36</v>
      </c>
      <c r="D51" s="41"/>
      <c r="E51" s="48"/>
      <c r="F51" s="46" t="str">
        <f aca="false">IF($D51="","",IF($D51="N/A",0,IF($C51="Kritis",5,IF($C51="Mayor",3,1))))</f>
        <v/>
      </c>
      <c r="G51" s="46" t="str">
        <f aca="false">IF($D51="","",IF($D51="Sesuai",$F51,0))</f>
        <v/>
      </c>
      <c r="H51" s="46" t="str">
        <f aca="false">IF($D51="Tidak",COUNTIF($D$27:$D51,"Tidak"),"")</f>
        <v/>
      </c>
    </row>
    <row r="52" customFormat="false" ht="24.75" hidden="false" customHeight="true" outlineLevel="0" collapsed="false">
      <c r="A52" s="46" t="s">
        <v>162</v>
      </c>
      <c r="B52" s="15" t="s">
        <v>163</v>
      </c>
      <c r="C52" s="49" t="s">
        <v>36</v>
      </c>
      <c r="D52" s="41"/>
      <c r="E52" s="48"/>
      <c r="F52" s="46" t="str">
        <f aca="false">IF($D52="","",IF($D52="N/A",0,IF($C52="Kritis",5,IF($C52="Mayor",3,1))))</f>
        <v/>
      </c>
      <c r="G52" s="46" t="str">
        <f aca="false">IF($D52="","",IF($D52="Sesuai",$F52,0))</f>
        <v/>
      </c>
      <c r="H52" s="46" t="str">
        <f aca="false">IF($D52="Tidak",COUNTIF($D$27:$D52,"Tidak"),"")</f>
        <v/>
      </c>
    </row>
    <row r="53" customFormat="false" ht="24.75" hidden="false" customHeight="true" outlineLevel="0" collapsed="false">
      <c r="A53" s="46" t="s">
        <v>164</v>
      </c>
      <c r="B53" s="15" t="s">
        <v>165</v>
      </c>
      <c r="C53" s="49" t="s">
        <v>36</v>
      </c>
      <c r="D53" s="41"/>
      <c r="E53" s="48"/>
      <c r="F53" s="46" t="str">
        <f aca="false">IF($D53="","",IF($D53="N/A",0,IF($C53="Kritis",5,IF($C53="Mayor",3,1))))</f>
        <v/>
      </c>
      <c r="G53" s="46" t="str">
        <f aca="false">IF($D53="","",IF($D53="Sesuai",$F53,0))</f>
        <v/>
      </c>
      <c r="H53" s="46" t="str">
        <f aca="false">IF($D53="Tidak",COUNTIF($D$27:$D53,"Tidak"),"")</f>
        <v/>
      </c>
    </row>
    <row r="54" customFormat="false" ht="24.75" hidden="false" customHeight="true" outlineLevel="0" collapsed="false">
      <c r="A54" s="46" t="s">
        <v>166</v>
      </c>
      <c r="B54" s="15" t="s">
        <v>167</v>
      </c>
      <c r="C54" s="50" t="s">
        <v>39</v>
      </c>
      <c r="D54" s="41"/>
      <c r="E54" s="48"/>
      <c r="F54" s="46" t="str">
        <f aca="false">IF($D54="","",IF($D54="N/A",0,IF($C54="Kritis",5,IF($C54="Mayor",3,1))))</f>
        <v/>
      </c>
      <c r="G54" s="46" t="str">
        <f aca="false">IF($D54="","",IF($D54="Sesuai",$F54,0))</f>
        <v/>
      </c>
      <c r="H54" s="46" t="str">
        <f aca="false">IF($D54="Tidak",COUNTIF($D$27:$D54,"Tidak"),"")</f>
        <v/>
      </c>
    </row>
    <row r="55" customFormat="false" ht="18" hidden="false" customHeight="true" outlineLevel="0" collapsed="false">
      <c r="A55" s="45" t="s">
        <v>168</v>
      </c>
      <c r="B55" s="45"/>
      <c r="C55" s="45"/>
      <c r="D55" s="45"/>
      <c r="E55" s="45"/>
      <c r="F55" s="45"/>
      <c r="G55" s="45"/>
      <c r="H55" s="45"/>
    </row>
    <row r="56" customFormat="false" ht="24.75" hidden="false" customHeight="true" outlineLevel="0" collapsed="false">
      <c r="A56" s="46" t="s">
        <v>169</v>
      </c>
      <c r="B56" s="15" t="s">
        <v>170</v>
      </c>
      <c r="C56" s="47" t="s">
        <v>33</v>
      </c>
      <c r="D56" s="41"/>
      <c r="E56" s="48"/>
      <c r="F56" s="46" t="str">
        <f aca="false">IF($D56="","",IF($D56="N/A",0,IF($C56="Kritis",5,IF($C56="Mayor",3,1))))</f>
        <v/>
      </c>
      <c r="G56" s="46" t="str">
        <f aca="false">IF($D56="","",IF($D56="Sesuai",$F56,0))</f>
        <v/>
      </c>
      <c r="H56" s="46" t="str">
        <f aca="false">IF($D56="Tidak",COUNTIF($D$27:$D56,"Tidak"),"")</f>
        <v/>
      </c>
    </row>
    <row r="57" customFormat="false" ht="24.75" hidden="false" customHeight="true" outlineLevel="0" collapsed="false">
      <c r="A57" s="46" t="s">
        <v>171</v>
      </c>
      <c r="B57" s="15" t="s">
        <v>172</v>
      </c>
      <c r="C57" s="47" t="s">
        <v>33</v>
      </c>
      <c r="D57" s="41"/>
      <c r="E57" s="48"/>
      <c r="F57" s="46" t="str">
        <f aca="false">IF($D57="","",IF($D57="N/A",0,IF($C57="Kritis",5,IF($C57="Mayor",3,1))))</f>
        <v/>
      </c>
      <c r="G57" s="46" t="str">
        <f aca="false">IF($D57="","",IF($D57="Sesuai",$F57,0))</f>
        <v/>
      </c>
      <c r="H57" s="46" t="str">
        <f aca="false">IF($D57="Tidak",COUNTIF($D$27:$D57,"Tidak"),"")</f>
        <v/>
      </c>
    </row>
    <row r="58" customFormat="false" ht="24.75" hidden="false" customHeight="true" outlineLevel="0" collapsed="false">
      <c r="A58" s="46" t="s">
        <v>173</v>
      </c>
      <c r="B58" s="15" t="s">
        <v>174</v>
      </c>
      <c r="C58" s="47" t="s">
        <v>33</v>
      </c>
      <c r="D58" s="41"/>
      <c r="E58" s="48"/>
      <c r="F58" s="46" t="str">
        <f aca="false">IF($D58="","",IF($D58="N/A",0,IF($C58="Kritis",5,IF($C58="Mayor",3,1))))</f>
        <v/>
      </c>
      <c r="G58" s="46" t="str">
        <f aca="false">IF($D58="","",IF($D58="Sesuai",$F58,0))</f>
        <v/>
      </c>
      <c r="H58" s="46" t="str">
        <f aca="false">IF($D58="Tidak",COUNTIF($D$27:$D58,"Tidak"),"")</f>
        <v/>
      </c>
    </row>
    <row r="59" customFormat="false" ht="16.5" hidden="false" customHeight="true" outlineLevel="0" collapsed="false">
      <c r="A59" s="46" t="s">
        <v>62</v>
      </c>
      <c r="B59" s="15" t="s">
        <v>175</v>
      </c>
      <c r="C59" s="47" t="s">
        <v>33</v>
      </c>
      <c r="D59" s="41"/>
      <c r="E59" s="48"/>
      <c r="F59" s="46" t="str">
        <f aca="false">IF($D59="","",IF($D59="N/A",0,IF($C59="Kritis",5,IF($C59="Mayor",3,1))))</f>
        <v/>
      </c>
      <c r="G59" s="46" t="str">
        <f aca="false">IF($D59="","",IF($D59="Sesuai",$F59,0))</f>
        <v/>
      </c>
      <c r="H59" s="46" t="str">
        <f aca="false">IF($D59="Tidak",COUNTIF($D$27:$D59,"Tidak"),"")</f>
        <v/>
      </c>
    </row>
    <row r="60" customFormat="false" ht="24.75" hidden="false" customHeight="true" outlineLevel="0" collapsed="false">
      <c r="A60" s="46" t="s">
        <v>176</v>
      </c>
      <c r="B60" s="15" t="s">
        <v>177</v>
      </c>
      <c r="C60" s="49" t="s">
        <v>36</v>
      </c>
      <c r="D60" s="41"/>
      <c r="E60" s="48"/>
      <c r="F60" s="46" t="str">
        <f aca="false">IF($D60="","",IF($D60="N/A",0,IF($C60="Kritis",5,IF($C60="Mayor",3,1))))</f>
        <v/>
      </c>
      <c r="G60" s="46" t="str">
        <f aca="false">IF($D60="","",IF($D60="Sesuai",$F60,0))</f>
        <v/>
      </c>
      <c r="H60" s="46" t="str">
        <f aca="false">IF($D60="Tidak",COUNTIF($D$27:$D60,"Tidak"),"")</f>
        <v/>
      </c>
    </row>
    <row r="61" customFormat="false" ht="24.75" hidden="false" customHeight="true" outlineLevel="0" collapsed="false">
      <c r="A61" s="46" t="s">
        <v>178</v>
      </c>
      <c r="B61" s="15" t="s">
        <v>179</v>
      </c>
      <c r="C61" s="49" t="s">
        <v>36</v>
      </c>
      <c r="D61" s="41"/>
      <c r="E61" s="48"/>
      <c r="F61" s="46" t="str">
        <f aca="false">IF($D61="","",IF($D61="N/A",0,IF($C61="Kritis",5,IF($C61="Mayor",3,1))))</f>
        <v/>
      </c>
      <c r="G61" s="46" t="str">
        <f aca="false">IF($D61="","",IF($D61="Sesuai",$F61,0))</f>
        <v/>
      </c>
      <c r="H61" s="46" t="str">
        <f aca="false">IF($D61="Tidak",COUNTIF($D$27:$D61,"Tidak"),"")</f>
        <v/>
      </c>
    </row>
    <row r="62" customFormat="false" ht="24.75" hidden="false" customHeight="true" outlineLevel="0" collapsed="false">
      <c r="A62" s="46" t="s">
        <v>180</v>
      </c>
      <c r="B62" s="15" t="s">
        <v>181</v>
      </c>
      <c r="C62" s="49" t="s">
        <v>36</v>
      </c>
      <c r="D62" s="41"/>
      <c r="E62" s="48"/>
      <c r="F62" s="46" t="str">
        <f aca="false">IF($D62="","",IF($D62="N/A",0,IF($C62="Kritis",5,IF($C62="Mayor",3,1))))</f>
        <v/>
      </c>
      <c r="G62" s="46" t="str">
        <f aca="false">IF($D62="","",IF($D62="Sesuai",$F62,0))</f>
        <v/>
      </c>
      <c r="H62" s="46" t="str">
        <f aca="false">IF($D62="Tidak",COUNTIF($D$27:$D62,"Tidak"),"")</f>
        <v/>
      </c>
    </row>
    <row r="63" customFormat="false" ht="24.75" hidden="false" customHeight="true" outlineLevel="0" collapsed="false">
      <c r="A63" s="46" t="s">
        <v>182</v>
      </c>
      <c r="B63" s="15" t="s">
        <v>183</v>
      </c>
      <c r="C63" s="49" t="s">
        <v>36</v>
      </c>
      <c r="D63" s="41"/>
      <c r="E63" s="48"/>
      <c r="F63" s="46" t="str">
        <f aca="false">IF($D63="","",IF($D63="N/A",0,IF($C63="Kritis",5,IF($C63="Mayor",3,1))))</f>
        <v/>
      </c>
      <c r="G63" s="46" t="str">
        <f aca="false">IF($D63="","",IF($D63="Sesuai",$F63,0))</f>
        <v/>
      </c>
      <c r="H63" s="46" t="str">
        <f aca="false">IF($D63="Tidak",COUNTIF($D$27:$D63,"Tidak"),"")</f>
        <v/>
      </c>
    </row>
    <row r="64" customFormat="false" ht="18" hidden="false" customHeight="true" outlineLevel="0" collapsed="false">
      <c r="A64" s="45" t="s">
        <v>184</v>
      </c>
      <c r="B64" s="45"/>
      <c r="C64" s="45"/>
      <c r="D64" s="45"/>
      <c r="E64" s="45"/>
      <c r="F64" s="45"/>
      <c r="G64" s="45"/>
      <c r="H64" s="45"/>
    </row>
    <row r="65" customFormat="false" ht="24.75" hidden="false" customHeight="true" outlineLevel="0" collapsed="false">
      <c r="A65" s="46" t="s">
        <v>185</v>
      </c>
      <c r="B65" s="15" t="s">
        <v>186</v>
      </c>
      <c r="C65" s="47" t="s">
        <v>33</v>
      </c>
      <c r="D65" s="41"/>
      <c r="E65" s="48"/>
      <c r="F65" s="46" t="str">
        <f aca="false">IF($D65="","",IF($D65="N/A",0,IF($C65="Kritis",5,IF($C65="Mayor",3,1))))</f>
        <v/>
      </c>
      <c r="G65" s="46" t="str">
        <f aca="false">IF($D65="","",IF($D65="Sesuai",$F65,0))</f>
        <v/>
      </c>
      <c r="H65" s="46" t="str">
        <f aca="false">IF($D65="Tidak",COUNTIF($D$27:$D65,"Tidak"),"")</f>
        <v/>
      </c>
    </row>
    <row r="66" customFormat="false" ht="24.75" hidden="false" customHeight="true" outlineLevel="0" collapsed="false">
      <c r="A66" s="46" t="s">
        <v>187</v>
      </c>
      <c r="B66" s="15" t="s">
        <v>188</v>
      </c>
      <c r="C66" s="47" t="s">
        <v>33</v>
      </c>
      <c r="D66" s="41"/>
      <c r="E66" s="48"/>
      <c r="F66" s="46" t="str">
        <f aca="false">IF($D66="","",IF($D66="N/A",0,IF($C66="Kritis",5,IF($C66="Mayor",3,1))))</f>
        <v/>
      </c>
      <c r="G66" s="46" t="str">
        <f aca="false">IF($D66="","",IF($D66="Sesuai",$F66,0))</f>
        <v/>
      </c>
      <c r="H66" s="46" t="str">
        <f aca="false">IF($D66="Tidak",COUNTIF($D$27:$D66,"Tidak"),"")</f>
        <v/>
      </c>
    </row>
    <row r="67" customFormat="false" ht="24.75" hidden="false" customHeight="true" outlineLevel="0" collapsed="false">
      <c r="A67" s="46" t="s">
        <v>189</v>
      </c>
      <c r="B67" s="15" t="s">
        <v>190</v>
      </c>
      <c r="C67" s="49" t="s">
        <v>36</v>
      </c>
      <c r="D67" s="41"/>
      <c r="E67" s="48"/>
      <c r="F67" s="46" t="str">
        <f aca="false">IF($D67="","",IF($D67="N/A",0,IF($C67="Kritis",5,IF($C67="Mayor",3,1))))</f>
        <v/>
      </c>
      <c r="G67" s="46" t="str">
        <f aca="false">IF($D67="","",IF($D67="Sesuai",$F67,0))</f>
        <v/>
      </c>
      <c r="H67" s="46" t="str">
        <f aca="false">IF($D67="Tidak",COUNTIF($D$27:$D67,"Tidak"),"")</f>
        <v/>
      </c>
    </row>
    <row r="68" customFormat="false" ht="24.75" hidden="false" customHeight="true" outlineLevel="0" collapsed="false">
      <c r="A68" s="46" t="s">
        <v>191</v>
      </c>
      <c r="B68" s="15" t="s">
        <v>192</v>
      </c>
      <c r="C68" s="49" t="s">
        <v>36</v>
      </c>
      <c r="D68" s="41"/>
      <c r="E68" s="48"/>
      <c r="F68" s="46" t="str">
        <f aca="false">IF($D68="","",IF($D68="N/A",0,IF($C68="Kritis",5,IF($C68="Mayor",3,1))))</f>
        <v/>
      </c>
      <c r="G68" s="46" t="str">
        <f aca="false">IF($D68="","",IF($D68="Sesuai",$F68,0))</f>
        <v/>
      </c>
      <c r="H68" s="46" t="str">
        <f aca="false">IF($D68="Tidak",COUNTIF($D$27:$D68,"Tidak"),"")</f>
        <v/>
      </c>
    </row>
    <row r="69" customFormat="false" ht="16.5" hidden="false" customHeight="true" outlineLevel="0" collapsed="false">
      <c r="A69" s="46" t="s">
        <v>193</v>
      </c>
      <c r="B69" s="15" t="s">
        <v>194</v>
      </c>
      <c r="C69" s="49" t="s">
        <v>36</v>
      </c>
      <c r="D69" s="41"/>
      <c r="E69" s="48"/>
      <c r="F69" s="46" t="str">
        <f aca="false">IF($D69="","",IF($D69="N/A",0,IF($C69="Kritis",5,IF($C69="Mayor",3,1))))</f>
        <v/>
      </c>
      <c r="G69" s="46" t="str">
        <f aca="false">IF($D69="","",IF($D69="Sesuai",$F69,0))</f>
        <v/>
      </c>
      <c r="H69" s="46" t="str">
        <f aca="false">IF($D69="Tidak",COUNTIF($D$27:$D69,"Tidak"),"")</f>
        <v/>
      </c>
    </row>
    <row r="70" customFormat="false" ht="24.75" hidden="false" customHeight="true" outlineLevel="0" collapsed="false">
      <c r="A70" s="46" t="s">
        <v>195</v>
      </c>
      <c r="B70" s="15" t="s">
        <v>196</v>
      </c>
      <c r="C70" s="50" t="s">
        <v>39</v>
      </c>
      <c r="D70" s="41"/>
      <c r="E70" s="48"/>
      <c r="F70" s="46" t="str">
        <f aca="false">IF($D70="","",IF($D70="N/A",0,IF($C70="Kritis",5,IF($C70="Mayor",3,1))))</f>
        <v/>
      </c>
      <c r="G70" s="46" t="str">
        <f aca="false">IF($D70="","",IF($D70="Sesuai",$F70,0))</f>
        <v/>
      </c>
      <c r="H70" s="46" t="str">
        <f aca="false">IF($D70="Tidak",COUNTIF($D$27:$D70,"Tidak"),"")</f>
        <v/>
      </c>
    </row>
    <row r="71" customFormat="false" ht="18" hidden="false" customHeight="true" outlineLevel="0" collapsed="false">
      <c r="A71" s="45" t="s">
        <v>197</v>
      </c>
      <c r="B71" s="45"/>
      <c r="C71" s="45"/>
      <c r="D71" s="45"/>
      <c r="E71" s="45"/>
      <c r="F71" s="45"/>
      <c r="G71" s="45"/>
      <c r="H71" s="45"/>
    </row>
    <row r="72" customFormat="false" ht="16.5" hidden="false" customHeight="true" outlineLevel="0" collapsed="false">
      <c r="A72" s="46" t="s">
        <v>198</v>
      </c>
      <c r="B72" s="15" t="s">
        <v>199</v>
      </c>
      <c r="C72" s="47" t="s">
        <v>33</v>
      </c>
      <c r="D72" s="41"/>
      <c r="E72" s="48"/>
      <c r="F72" s="46" t="str">
        <f aca="false">IF($D72="","",IF($D72="N/A",0,IF($C72="Kritis",5,IF($C72="Mayor",3,1))))</f>
        <v/>
      </c>
      <c r="G72" s="46" t="str">
        <f aca="false">IF($D72="","",IF($D72="Sesuai",$F72,0))</f>
        <v/>
      </c>
      <c r="H72" s="46" t="str">
        <f aca="false">IF($D72="Tidak",COUNTIF($D$27:$D72,"Tidak"),"")</f>
        <v/>
      </c>
    </row>
    <row r="73" customFormat="false" ht="24.75" hidden="false" customHeight="true" outlineLevel="0" collapsed="false">
      <c r="A73" s="46" t="s">
        <v>200</v>
      </c>
      <c r="B73" s="15" t="s">
        <v>201</v>
      </c>
      <c r="C73" s="49" t="s">
        <v>36</v>
      </c>
      <c r="D73" s="41"/>
      <c r="E73" s="48"/>
      <c r="F73" s="46" t="str">
        <f aca="false">IF($D73="","",IF($D73="N/A",0,IF($C73="Kritis",5,IF($C73="Mayor",3,1))))</f>
        <v/>
      </c>
      <c r="G73" s="46" t="str">
        <f aca="false">IF($D73="","",IF($D73="Sesuai",$F73,0))</f>
        <v/>
      </c>
      <c r="H73" s="46" t="str">
        <f aca="false">IF($D73="Tidak",COUNTIF($D$27:$D73,"Tidak"),"")</f>
        <v/>
      </c>
    </row>
    <row r="74" customFormat="false" ht="24.75" hidden="false" customHeight="true" outlineLevel="0" collapsed="false">
      <c r="A74" s="46" t="s">
        <v>202</v>
      </c>
      <c r="B74" s="15" t="s">
        <v>203</v>
      </c>
      <c r="C74" s="49" t="s">
        <v>36</v>
      </c>
      <c r="D74" s="41"/>
      <c r="E74" s="48"/>
      <c r="F74" s="46" t="str">
        <f aca="false">IF($D74="","",IF($D74="N/A",0,IF($C74="Kritis",5,IF($C74="Mayor",3,1))))</f>
        <v/>
      </c>
      <c r="G74" s="46" t="str">
        <f aca="false">IF($D74="","",IF($D74="Sesuai",$F74,0))</f>
        <v/>
      </c>
      <c r="H74" s="46" t="str">
        <f aca="false">IF($D74="Tidak",COUNTIF($D$27:$D74,"Tidak"),"")</f>
        <v/>
      </c>
    </row>
    <row r="75" customFormat="false" ht="16.5" hidden="false" customHeight="true" outlineLevel="0" collapsed="false">
      <c r="A75" s="46" t="s">
        <v>204</v>
      </c>
      <c r="B75" s="15" t="s">
        <v>205</v>
      </c>
      <c r="C75" s="49" t="s">
        <v>36</v>
      </c>
      <c r="D75" s="41"/>
      <c r="E75" s="48"/>
      <c r="F75" s="46" t="str">
        <f aca="false">IF($D75="","",IF($D75="N/A",0,IF($C75="Kritis",5,IF($C75="Mayor",3,1))))</f>
        <v/>
      </c>
      <c r="G75" s="46" t="str">
        <f aca="false">IF($D75="","",IF($D75="Sesuai",$F75,0))</f>
        <v/>
      </c>
      <c r="H75" s="46" t="str">
        <f aca="false">IF($D75="Tidak",COUNTIF($D$27:$D75,"Tidak"),"")</f>
        <v/>
      </c>
    </row>
    <row r="76" customFormat="false" ht="24.75" hidden="false" customHeight="true" outlineLevel="0" collapsed="false">
      <c r="A76" s="46" t="s">
        <v>206</v>
      </c>
      <c r="B76" s="15" t="s">
        <v>207</v>
      </c>
      <c r="C76" s="49" t="s">
        <v>36</v>
      </c>
      <c r="D76" s="41"/>
      <c r="E76" s="48"/>
      <c r="F76" s="46" t="str">
        <f aca="false">IF($D76="","",IF($D76="N/A",0,IF($C76="Kritis",5,IF($C76="Mayor",3,1))))</f>
        <v/>
      </c>
      <c r="G76" s="46" t="str">
        <f aca="false">IF($D76="","",IF($D76="Sesuai",$F76,0))</f>
        <v/>
      </c>
      <c r="H76" s="46" t="str">
        <f aca="false">IF($D76="Tidak",COUNTIF($D$27:$D76,"Tidak"),"")</f>
        <v/>
      </c>
    </row>
    <row r="77" customFormat="false" ht="24.75" hidden="false" customHeight="true" outlineLevel="0" collapsed="false">
      <c r="A77" s="46" t="s">
        <v>208</v>
      </c>
      <c r="B77" s="15" t="s">
        <v>209</v>
      </c>
      <c r="C77" s="50" t="s">
        <v>39</v>
      </c>
      <c r="D77" s="41"/>
      <c r="E77" s="48"/>
      <c r="F77" s="46" t="str">
        <f aca="false">IF($D77="","",IF($D77="N/A",0,IF($C77="Kritis",5,IF($C77="Mayor",3,1))))</f>
        <v/>
      </c>
      <c r="G77" s="46" t="str">
        <f aca="false">IF($D77="","",IF($D77="Sesuai",$F77,0))</f>
        <v/>
      </c>
      <c r="H77" s="46" t="str">
        <f aca="false">IF($D77="Tidak",COUNTIF($D$27:$D77,"Tidak"),"")</f>
        <v/>
      </c>
    </row>
    <row r="78" customFormat="false" ht="18" hidden="false" customHeight="true" outlineLevel="0" collapsed="false">
      <c r="A78" s="45" t="s">
        <v>210</v>
      </c>
      <c r="B78" s="45"/>
      <c r="C78" s="45"/>
      <c r="D78" s="45"/>
      <c r="E78" s="45"/>
      <c r="F78" s="45"/>
      <c r="G78" s="45"/>
      <c r="H78" s="45"/>
    </row>
    <row r="79" customFormat="false" ht="24.75" hidden="false" customHeight="true" outlineLevel="0" collapsed="false">
      <c r="A79" s="46" t="s">
        <v>211</v>
      </c>
      <c r="B79" s="15" t="s">
        <v>212</v>
      </c>
      <c r="C79" s="47" t="s">
        <v>33</v>
      </c>
      <c r="D79" s="41"/>
      <c r="E79" s="48"/>
      <c r="F79" s="46" t="str">
        <f aca="false">IF($D79="","",IF($D79="N/A",0,IF($C79="Kritis",5,IF($C79="Mayor",3,1))))</f>
        <v/>
      </c>
      <c r="G79" s="46" t="str">
        <f aca="false">IF($D79="","",IF($D79="Sesuai",$F79,0))</f>
        <v/>
      </c>
      <c r="H79" s="46" t="str">
        <f aca="false">IF($D79="Tidak",COUNTIF($D$27:$D79,"Tidak"),"")</f>
        <v/>
      </c>
    </row>
    <row r="80" customFormat="false" ht="24.75" hidden="false" customHeight="true" outlineLevel="0" collapsed="false">
      <c r="A80" s="46" t="s">
        <v>213</v>
      </c>
      <c r="B80" s="15" t="s">
        <v>214</v>
      </c>
      <c r="C80" s="47" t="s">
        <v>33</v>
      </c>
      <c r="D80" s="41"/>
      <c r="E80" s="48"/>
      <c r="F80" s="46" t="str">
        <f aca="false">IF($D80="","",IF($D80="N/A",0,IF($C80="Kritis",5,IF($C80="Mayor",3,1))))</f>
        <v/>
      </c>
      <c r="G80" s="46" t="str">
        <f aca="false">IF($D80="","",IF($D80="Sesuai",$F80,0))</f>
        <v/>
      </c>
      <c r="H80" s="46" t="str">
        <f aca="false">IF($D80="Tidak",COUNTIF($D$27:$D80,"Tidak"),"")</f>
        <v/>
      </c>
    </row>
    <row r="81" customFormat="false" ht="24.75" hidden="false" customHeight="true" outlineLevel="0" collapsed="false">
      <c r="A81" s="46" t="s">
        <v>215</v>
      </c>
      <c r="B81" s="15" t="s">
        <v>216</v>
      </c>
      <c r="C81" s="47" t="s">
        <v>33</v>
      </c>
      <c r="D81" s="41"/>
      <c r="E81" s="48"/>
      <c r="F81" s="46" t="str">
        <f aca="false">IF($D81="","",IF($D81="N/A",0,IF($C81="Kritis",5,IF($C81="Mayor",3,1))))</f>
        <v/>
      </c>
      <c r="G81" s="46" t="str">
        <f aca="false">IF($D81="","",IF($D81="Sesuai",$F81,0))</f>
        <v/>
      </c>
      <c r="H81" s="46" t="str">
        <f aca="false">IF($D81="Tidak",COUNTIF($D$27:$D81,"Tidak"),"")</f>
        <v/>
      </c>
    </row>
    <row r="82" customFormat="false" ht="24.75" hidden="false" customHeight="true" outlineLevel="0" collapsed="false">
      <c r="A82" s="46" t="s">
        <v>217</v>
      </c>
      <c r="B82" s="15" t="s">
        <v>218</v>
      </c>
      <c r="C82" s="49" t="s">
        <v>36</v>
      </c>
      <c r="D82" s="41"/>
      <c r="E82" s="48"/>
      <c r="F82" s="46" t="str">
        <f aca="false">IF($D82="","",IF($D82="N/A",0,IF($C82="Kritis",5,IF($C82="Mayor",3,1))))</f>
        <v/>
      </c>
      <c r="G82" s="46" t="str">
        <f aca="false">IF($D82="","",IF($D82="Sesuai",$F82,0))</f>
        <v/>
      </c>
      <c r="H82" s="46" t="str">
        <f aca="false">IF($D82="Tidak",COUNTIF($D$27:$D82,"Tidak"),"")</f>
        <v/>
      </c>
    </row>
    <row r="83" customFormat="false" ht="24.75" hidden="false" customHeight="true" outlineLevel="0" collapsed="false">
      <c r="A83" s="46" t="s">
        <v>219</v>
      </c>
      <c r="B83" s="15" t="s">
        <v>220</v>
      </c>
      <c r="C83" s="49" t="s">
        <v>36</v>
      </c>
      <c r="D83" s="41"/>
      <c r="E83" s="48"/>
      <c r="F83" s="46" t="str">
        <f aca="false">IF($D83="","",IF($D83="N/A",0,IF($C83="Kritis",5,IF($C83="Mayor",3,1))))</f>
        <v/>
      </c>
      <c r="G83" s="46" t="str">
        <f aca="false">IF($D83="","",IF($D83="Sesuai",$F83,0))</f>
        <v/>
      </c>
      <c r="H83" s="46" t="str">
        <f aca="false">IF($D83="Tidak",COUNTIF($D$27:$D83,"Tidak"),"")</f>
        <v/>
      </c>
    </row>
    <row r="85" customFormat="false" ht="19.5" hidden="false" customHeight="true" outlineLevel="0" collapsed="false">
      <c r="A85" s="3" t="s">
        <v>221</v>
      </c>
      <c r="B85" s="3"/>
      <c r="C85" s="3"/>
      <c r="D85" s="3"/>
      <c r="E85" s="3"/>
      <c r="F85" s="3"/>
      <c r="G85" s="3"/>
      <c r="H85" s="3"/>
    </row>
    <row r="86" customFormat="false" ht="16.5" hidden="false" customHeight="true" outlineLevel="0" collapsed="false">
      <c r="B86" s="32" t="s">
        <v>222</v>
      </c>
      <c r="C86" s="51" t="n">
        <f aca="false">SUM($F$27:$F$83)</f>
        <v>0</v>
      </c>
      <c r="D86" s="51"/>
      <c r="E86" s="51"/>
    </row>
    <row r="87" customFormat="false" ht="16.5" hidden="false" customHeight="true" outlineLevel="0" collapsed="false">
      <c r="B87" s="32" t="s">
        <v>223</v>
      </c>
      <c r="C87" s="51" t="n">
        <f aca="false">SUM($G$27:$G$83)</f>
        <v>0</v>
      </c>
      <c r="D87" s="51"/>
      <c r="E87" s="51"/>
    </row>
    <row r="88" customFormat="false" ht="16.5" hidden="false" customHeight="true" outlineLevel="0" collapsed="false">
      <c r="B88" s="32" t="s">
        <v>224</v>
      </c>
      <c r="C88" s="52" t="str">
        <f aca="false">IFERROR($C$87/$C$86,"")</f>
        <v/>
      </c>
      <c r="D88" s="52"/>
      <c r="E88" s="52"/>
    </row>
    <row r="89" customFormat="false" ht="16.5" hidden="false" customHeight="true" outlineLevel="0" collapsed="false">
      <c r="B89" s="32" t="s">
        <v>225</v>
      </c>
      <c r="C89" s="51" t="n">
        <f aca="false">COUNTA($D$27:$D$83)</f>
        <v>0</v>
      </c>
      <c r="D89" s="51"/>
      <c r="E89" s="51"/>
    </row>
    <row r="90" customFormat="false" ht="16.5" hidden="false" customHeight="true" outlineLevel="0" collapsed="false">
      <c r="B90" s="32" t="s">
        <v>226</v>
      </c>
      <c r="C90" s="51" t="n">
        <f aca="false">COUNTIFS($C$27:$C$83,"Kritis",$D$27:$D$83,"Tidak")</f>
        <v>0</v>
      </c>
      <c r="D90" s="51"/>
      <c r="E90" s="51"/>
    </row>
    <row r="91" customFormat="false" ht="16.5" hidden="false" customHeight="true" outlineLevel="0" collapsed="false">
      <c r="B91" s="32" t="s">
        <v>227</v>
      </c>
      <c r="C91" s="51" t="n">
        <f aca="false">COUNTIF($D$27:$D$83,"Tidak")</f>
        <v>0</v>
      </c>
      <c r="D91" s="51"/>
      <c r="E91" s="51"/>
    </row>
    <row r="92" customFormat="false" ht="16.5" hidden="false" customHeight="true" outlineLevel="0" collapsed="false">
      <c r="B92" s="32" t="s">
        <v>228</v>
      </c>
      <c r="C92" s="51" t="n">
        <f aca="false">COUNTIF($F$18:$F$23,"Di luar rentang")</f>
        <v>0</v>
      </c>
      <c r="D92" s="51"/>
      <c r="E92" s="51"/>
    </row>
    <row r="93" customFormat="false" ht="16.5" hidden="false" customHeight="true" outlineLevel="0" collapsed="false">
      <c r="B93" s="32" t="s">
        <v>229</v>
      </c>
      <c r="C93" s="51" t="n">
        <f aca="false">IF($C$89=0,0,IF(OR($C$90&gt;=2,$C$88&lt;0.7),4,IF(OR($C$90=1,$C$88&lt;0.85),3,IF(OR($C$88&lt;0.95,$C$92&gt;0),2,1))))</f>
        <v>0</v>
      </c>
      <c r="D93" s="51"/>
      <c r="E93" s="51"/>
    </row>
    <row r="94" customFormat="false" ht="16.5" hidden="false" customHeight="true" outlineLevel="0" collapsed="false">
      <c r="B94" s="32" t="s">
        <v>230</v>
      </c>
      <c r="C94" s="53" t="str">
        <f aca="false">IF($C$93=0,"Belum dinilai",IF($C$93=4,"Infeksi sistemik",IF($C$93=3,"Infeksi lokal",IF($C$93=2,"Terkolonisasi","Terkendali"))))</f>
        <v>Belum dinilai</v>
      </c>
      <c r="D94" s="53"/>
      <c r="E94" s="53"/>
    </row>
    <row r="95" customFormat="false" ht="30" hidden="false" customHeight="true" outlineLevel="0" collapsed="false">
      <c r="B95" s="32" t="s">
        <v>231</v>
      </c>
      <c r="C95" s="54" t="str">
        <f aca="false">IF($C$93=0,"Isi minimal satu butir untuk memulai penilaian.",IF($C$93=4,"Hentikan seluruh pekerjaan. Amankan zona, perbaiki temuan kritis, ronde ulang sebelum dilanjutkan.",IF($C$93=3,"Hentikan bagian pekerjaan yang terdampak. Tutup temuan kritis dalam 24 jam lalu verifikasi.",IF($C$93=2,"Pekerjaan lanjut dengan pengawasan. Tutup temuan sesuai tenggat dan ronde ulang dalam 3 hari.","Sistem bangunan terkendali. Pertahankan frekuensi ronde sesuai kelas kewaspadaan."))))</f>
        <v>Isi minimal satu butir untuk memulai penilaian.</v>
      </c>
      <c r="D95" s="54"/>
      <c r="E95" s="54"/>
    </row>
    <row r="98" customFormat="false" ht="15" hidden="false" customHeight="false" outlineLevel="0" collapsed="false">
      <c r="B98" s="55" t="s">
        <v>232</v>
      </c>
      <c r="D98" s="55" t="s">
        <v>233</v>
      </c>
      <c r="F98" s="55" t="s">
        <v>234</v>
      </c>
    </row>
    <row r="102" customFormat="false" ht="15" hidden="false" customHeight="false" outlineLevel="0" collapsed="false">
      <c r="B102" s="56" t="s">
        <v>235</v>
      </c>
      <c r="D102" s="56" t="s">
        <v>235</v>
      </c>
      <c r="F102" s="56" t="s">
        <v>235</v>
      </c>
    </row>
    <row r="103" customFormat="false" ht="15" hidden="false" customHeight="false" outlineLevel="0" collapsed="false">
      <c r="B103" s="57" t="s">
        <v>236</v>
      </c>
      <c r="D103" s="57" t="s">
        <v>237</v>
      </c>
      <c r="F103" s="57" t="s">
        <v>238</v>
      </c>
    </row>
  </sheetData>
  <mergeCells count="45">
    <mergeCell ref="A1:H1"/>
    <mergeCell ref="A2:H2"/>
    <mergeCell ref="C4:E4"/>
    <mergeCell ref="F4:H4"/>
    <mergeCell ref="C5:E5"/>
    <mergeCell ref="F5:H6"/>
    <mergeCell ref="C6:E6"/>
    <mergeCell ref="C7:E7"/>
    <mergeCell ref="F7:H7"/>
    <mergeCell ref="C8:E8"/>
    <mergeCell ref="F8:H9"/>
    <mergeCell ref="C9:E9"/>
    <mergeCell ref="C10:E10"/>
    <mergeCell ref="F10:H12"/>
    <mergeCell ref="C11:E11"/>
    <mergeCell ref="C12:E12"/>
    <mergeCell ref="C13:E13"/>
    <mergeCell ref="C14:E14"/>
    <mergeCell ref="A16:H16"/>
    <mergeCell ref="F17:H17"/>
    <mergeCell ref="F18:H18"/>
    <mergeCell ref="F19:H19"/>
    <mergeCell ref="F20:H20"/>
    <mergeCell ref="F21:H21"/>
    <mergeCell ref="F22:H22"/>
    <mergeCell ref="F23:H23"/>
    <mergeCell ref="A25:H25"/>
    <mergeCell ref="A27:H27"/>
    <mergeCell ref="A38:H38"/>
    <mergeCell ref="A47:H47"/>
    <mergeCell ref="A55:H55"/>
    <mergeCell ref="A64:H64"/>
    <mergeCell ref="A71:H71"/>
    <mergeCell ref="A78:H78"/>
    <mergeCell ref="A85:H85"/>
    <mergeCell ref="C86:E86"/>
    <mergeCell ref="C87:E87"/>
    <mergeCell ref="C88:E88"/>
    <mergeCell ref="C89:E89"/>
    <mergeCell ref="C90:E90"/>
    <mergeCell ref="C91:E91"/>
    <mergeCell ref="C92:E92"/>
    <mergeCell ref="C93:E93"/>
    <mergeCell ref="C94:E94"/>
    <mergeCell ref="C95:E95"/>
  </mergeCells>
  <conditionalFormatting sqref="D27:D83">
    <cfRule type="cellIs" priority="2" operator="equal" aboveAverage="0" equalAverage="0" bottom="0" percent="0" rank="0" text="" dxfId="0">
      <formula>"Tidak"</formula>
    </cfRule>
    <cfRule type="cellIs" priority="3" operator="equal" aboveAverage="0" equalAverage="0" bottom="0" percent="0" rank="0" text="" dxfId="1">
      <formula>"Sesuai"</formula>
    </cfRule>
    <cfRule type="cellIs" priority="4" operator="equal" aboveAverage="0" equalAverage="0" bottom="0" percent="0" rank="0" text="" dxfId="2">
      <formula>"N/A"</formula>
    </cfRule>
  </conditionalFormatting>
  <conditionalFormatting sqref="A27:C83">
    <cfRule type="expression" priority="5" aboveAverage="0" equalAverage="0" bottom="0" percent="0" rank="0" text="" dxfId="3">
      <formula>$D27="Tidak"</formula>
    </cfRule>
  </conditionalFormatting>
  <conditionalFormatting sqref="F18:H23">
    <cfRule type="cellIs" priority="6" operator="equal" aboveAverage="0" equalAverage="0" bottom="0" percent="0" rank="0" text="" dxfId="0">
      <formula>"Di luar rentang"</formula>
    </cfRule>
    <cfRule type="cellIs" priority="7" operator="equal" aboveAverage="0" equalAverage="0" bottom="0" percent="0" rank="0" text="" dxfId="1">
      <formula>"Dalam rentang"</formula>
    </cfRule>
  </conditionalFormatting>
  <conditionalFormatting sqref="F5:H12">
    <cfRule type="expression" priority="8" aboveAverage="0" equalAverage="0" bottom="0" percent="0" rank="0" text="" dxfId="3">
      <formula>$C$93=4</formula>
    </cfRule>
    <cfRule type="expression" priority="9" aboveAverage="0" equalAverage="0" bottom="0" percent="0" rank="0" text="" dxfId="4">
      <formula>$C$93=3</formula>
    </cfRule>
    <cfRule type="expression" priority="10" aboveAverage="0" equalAverage="0" bottom="0" percent="0" rank="0" text="" dxfId="5">
      <formula>$C$93=2</formula>
    </cfRule>
    <cfRule type="expression" priority="11" aboveAverage="0" equalAverage="0" bottom="0" percent="0" rank="0" text="" dxfId="6">
      <formula>$C$93=1</formula>
    </cfRule>
  </conditionalFormatting>
  <conditionalFormatting sqref="C94:E94">
    <cfRule type="expression" priority="12" aboveAverage="0" equalAverage="0" bottom="0" percent="0" rank="0" text="" dxfId="7">
      <formula>$C$93=4</formula>
    </cfRule>
    <cfRule type="expression" priority="13" aboveAverage="0" equalAverage="0" bottom="0" percent="0" rank="0" text="" dxfId="8">
      <formula>$C$93=3</formula>
    </cfRule>
    <cfRule type="expression" priority="14" aboveAverage="0" equalAverage="0" bottom="0" percent="0" rank="0" text="" dxfId="9">
      <formula>$C$93=2</formula>
    </cfRule>
    <cfRule type="expression" priority="15" aboveAverage="0" equalAverage="0" bottom="0" percent="0" rank="0" text="" dxfId="10">
      <formula>$C$93=1</formula>
    </cfRule>
  </conditionalFormatting>
  <dataValidations count="3">
    <dataValidation allowBlank="true" error="Pilih Sesuai, Tidak, atau N/A." errorStyle="stop" errorTitle="Nilai tidak dikenal" operator="between" showDropDown="false" showErrorMessage="false" showInputMessage="false" sqref="D28:D37 D39:D46 D48:D54 D56:D63 D65:D70 D72:D77 D79:D83" type="list">
      <formula1>"Sesuai,Tidak,N/A"</formula1>
      <formula2>0</formula2>
    </dataValidation>
    <dataValidation allowBlank="true" errorStyle="stop" operator="between" showDropDown="false" showErrorMessage="false" showInputMessage="false" sqref="C9" type="list">
      <formula1>"A — inspeksi,tanpa debu,B — skala kecil,debu minimal,C — membongkar komponen bangunan,D — pembongkaran besar atau demolisi"</formula1>
      <formula2>0</formula2>
    </dataValidation>
    <dataValidation allowBlank="true" errorStyle="stop" operator="between" showDropDown="false" showErrorMessage="false" showInputMessage="false" sqref="C10" type="list">
      <formula1>"1 — risiko rendah,2 — risiko sedang,3 — risiko tinggi,4 — risiko sangat tinggi"</formula1>
      <formula2>0</formula2>
    </dataValidation>
  </dataValidations>
  <printOptions headings="false" gridLines="false" gridLinesSet="true" horizontalCentered="fals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&amp;LRonde Lingkungan — &amp;D&amp;RHalaman &amp;P dari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H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8"/>
    <col collapsed="false" customWidth="true" hidden="false" outlineLevel="0" max="6" min="3" style="0" width="11"/>
    <col collapsed="false" customWidth="true" hidden="false" outlineLevel="0" max="7" min="7" style="0" width="13"/>
    <col collapsed="false" customWidth="true" hidden="false" outlineLevel="0" max="8" min="8" style="0" width="40"/>
  </cols>
  <sheetData>
    <row r="2" customFormat="false" ht="25.5" hidden="false" customHeight="true" outlineLevel="0" collapsed="false">
      <c r="B2" s="1" t="s">
        <v>239</v>
      </c>
      <c r="C2" s="1"/>
      <c r="D2" s="1"/>
      <c r="E2" s="1"/>
      <c r="F2" s="1"/>
      <c r="G2" s="1"/>
      <c r="H2" s="1"/>
    </row>
    <row r="3" customFormat="false" ht="18" hidden="false" customHeight="true" outlineLevel="0" collapsed="false">
      <c r="B3" s="2" t="s">
        <v>240</v>
      </c>
      <c r="C3" s="2"/>
      <c r="D3" s="2"/>
      <c r="E3" s="2"/>
      <c r="F3" s="2"/>
      <c r="G3" s="2"/>
      <c r="H3" s="2"/>
    </row>
    <row r="5" customFormat="false" ht="15" hidden="false" customHeight="false" outlineLevel="0" collapsed="false">
      <c r="B5" s="33" t="s">
        <v>241</v>
      </c>
      <c r="C5" s="33" t="s">
        <v>242</v>
      </c>
      <c r="D5" s="33" t="s">
        <v>243</v>
      </c>
      <c r="E5" s="33" t="s">
        <v>63</v>
      </c>
      <c r="F5" s="33" t="s">
        <v>244</v>
      </c>
      <c r="G5" s="33" t="s">
        <v>113</v>
      </c>
      <c r="H5" s="33" t="s">
        <v>245</v>
      </c>
    </row>
    <row r="6" customFormat="false" ht="16.5" hidden="false" customHeight="true" outlineLevel="0" collapsed="false">
      <c r="B6" s="40" t="s">
        <v>246</v>
      </c>
      <c r="C6" s="14" t="n">
        <f aca="false">COUNTIFS('Lembar Ronde'!$A$27:$A$83,"UDR-*",'Lembar Ronde'!$D$27:$D$83,"&lt;&gt;")</f>
        <v>0</v>
      </c>
      <c r="D6" s="14" t="n">
        <f aca="false">COUNTIFS('Lembar Ronde'!$A$27:$A$83,"UDR-*",'Lembar Ronde'!$D$27:$D$83,"Sesuai")</f>
        <v>0</v>
      </c>
      <c r="E6" s="14" t="n">
        <f aca="false">COUNTIFS('Lembar Ronde'!$A$27:$A$83,"UDR-*",'Lembar Ronde'!$D$27:$D$83,"Tidak")</f>
        <v>0</v>
      </c>
      <c r="F6" s="14" t="n">
        <f aca="false">COUNTIFS('Lembar Ronde'!$A$27:$A$83,"UDR-*",'Lembar Ronde'!$D$27:$D$83,"N/A")</f>
        <v>0</v>
      </c>
      <c r="G6" s="58" t="str">
        <f aca="false">IFERROR(SUMIF('Lembar Ronde'!$A$27:$A$83,"UDR-*",'Lembar Ronde'!$G$27:$G$83)/SUMIF('Lembar Ronde'!$A$27:$A$83,"UDR-*",'Lembar Ronde'!$F$27:$F$83),"")</f>
        <v/>
      </c>
      <c r="H6" s="59" t="n">
        <f aca="false">COUNTIFS('Lembar Ronde'!$A$27:$A$83,"UDR-*",'Lembar Ronde'!$C$27:$C$83,"Kritis",'Lembar Ronde'!$D$27:$D$83,"Tidak")</f>
        <v>0</v>
      </c>
    </row>
    <row r="7" customFormat="false" ht="16.5" hidden="false" customHeight="true" outlineLevel="0" collapsed="false">
      <c r="B7" s="40" t="s">
        <v>247</v>
      </c>
      <c r="C7" s="14" t="n">
        <f aca="false">COUNTIFS('Lembar Ronde'!$A$27:$A$83,"AIR-*",'Lembar Ronde'!$D$27:$D$83,"&lt;&gt;")</f>
        <v>0</v>
      </c>
      <c r="D7" s="14" t="n">
        <f aca="false">COUNTIFS('Lembar Ronde'!$A$27:$A$83,"AIR-*",'Lembar Ronde'!$D$27:$D$83,"Sesuai")</f>
        <v>0</v>
      </c>
      <c r="E7" s="14" t="n">
        <f aca="false">COUNTIFS('Lembar Ronde'!$A$27:$A$83,"AIR-*",'Lembar Ronde'!$D$27:$D$83,"Tidak")</f>
        <v>0</v>
      </c>
      <c r="F7" s="14" t="n">
        <f aca="false">COUNTIFS('Lembar Ronde'!$A$27:$A$83,"AIR-*",'Lembar Ronde'!$D$27:$D$83,"N/A")</f>
        <v>0</v>
      </c>
      <c r="G7" s="58" t="str">
        <f aca="false">IFERROR(SUMIF('Lembar Ronde'!$A$27:$A$83,"AIR-*",'Lembar Ronde'!$G$27:$G$83)/SUMIF('Lembar Ronde'!$A$27:$A$83,"AIR-*",'Lembar Ronde'!$F$27:$F$83),"")</f>
        <v/>
      </c>
      <c r="H7" s="59" t="n">
        <f aca="false">COUNTIFS('Lembar Ronde'!$A$27:$A$83,"AIR-*",'Lembar Ronde'!$C$27:$C$83,"Kritis",'Lembar Ronde'!$D$27:$D$83,"Tidak")</f>
        <v>0</v>
      </c>
    </row>
    <row r="8" customFormat="false" ht="16.5" hidden="false" customHeight="true" outlineLevel="0" collapsed="false">
      <c r="B8" s="40" t="s">
        <v>248</v>
      </c>
      <c r="C8" s="14" t="n">
        <f aca="false">COUNTIFS('Lembar Ronde'!$A$27:$A$83,"DRN-*",'Lembar Ronde'!$D$27:$D$83,"&lt;&gt;")</f>
        <v>0</v>
      </c>
      <c r="D8" s="14" t="n">
        <f aca="false">COUNTIFS('Lembar Ronde'!$A$27:$A$83,"DRN-*",'Lembar Ronde'!$D$27:$D$83,"Sesuai")</f>
        <v>0</v>
      </c>
      <c r="E8" s="14" t="n">
        <f aca="false">COUNTIFS('Lembar Ronde'!$A$27:$A$83,"DRN-*",'Lembar Ronde'!$D$27:$D$83,"Tidak")</f>
        <v>0</v>
      </c>
      <c r="F8" s="14" t="n">
        <f aca="false">COUNTIFS('Lembar Ronde'!$A$27:$A$83,"DRN-*",'Lembar Ronde'!$D$27:$D$83,"N/A")</f>
        <v>0</v>
      </c>
      <c r="G8" s="58" t="str">
        <f aca="false">IFERROR(SUMIF('Lembar Ronde'!$A$27:$A$83,"DRN-*",'Lembar Ronde'!$G$27:$G$83)/SUMIF('Lembar Ronde'!$A$27:$A$83,"DRN-*",'Lembar Ronde'!$F$27:$F$83),"")</f>
        <v/>
      </c>
      <c r="H8" s="59" t="n">
        <f aca="false">COUNTIFS('Lembar Ronde'!$A$27:$A$83,"DRN-*",'Lembar Ronde'!$C$27:$C$83,"Kritis",'Lembar Ronde'!$D$27:$D$83,"Tidak")</f>
        <v>0</v>
      </c>
    </row>
    <row r="9" customFormat="false" ht="16.5" hidden="false" customHeight="true" outlineLevel="0" collapsed="false">
      <c r="B9" s="40" t="s">
        <v>249</v>
      </c>
      <c r="C9" s="14" t="n">
        <f aca="false">COUNTIFS('Lembar Ronde'!$A$27:$A$83,"BAR-*",'Lembar Ronde'!$D$27:$D$83,"&lt;&gt;")</f>
        <v>0</v>
      </c>
      <c r="D9" s="14" t="n">
        <f aca="false">COUNTIFS('Lembar Ronde'!$A$27:$A$83,"BAR-*",'Lembar Ronde'!$D$27:$D$83,"Sesuai")</f>
        <v>0</v>
      </c>
      <c r="E9" s="14" t="n">
        <f aca="false">COUNTIFS('Lembar Ronde'!$A$27:$A$83,"BAR-*",'Lembar Ronde'!$D$27:$D$83,"Tidak")</f>
        <v>0</v>
      </c>
      <c r="F9" s="14" t="n">
        <f aca="false">COUNTIFS('Lembar Ronde'!$A$27:$A$83,"BAR-*",'Lembar Ronde'!$D$27:$D$83,"N/A")</f>
        <v>0</v>
      </c>
      <c r="G9" s="58" t="str">
        <f aca="false">IFERROR(SUMIF('Lembar Ronde'!$A$27:$A$83,"BAR-*",'Lembar Ronde'!$G$27:$G$83)/SUMIF('Lembar Ronde'!$A$27:$A$83,"BAR-*",'Lembar Ronde'!$F$27:$F$83),"")</f>
        <v/>
      </c>
      <c r="H9" s="59" t="n">
        <f aca="false">COUNTIFS('Lembar Ronde'!$A$27:$A$83,"BAR-*",'Lembar Ronde'!$C$27:$C$83,"Kritis",'Lembar Ronde'!$D$27:$D$83,"Tidak")</f>
        <v>0</v>
      </c>
    </row>
    <row r="10" customFormat="false" ht="16.5" hidden="false" customHeight="true" outlineLevel="0" collapsed="false">
      <c r="B10" s="40" t="s">
        <v>250</v>
      </c>
      <c r="C10" s="14" t="n">
        <f aca="false">COUNTIFS('Lembar Ronde'!$A$27:$A$83,"SLB-*",'Lembar Ronde'!$D$27:$D$83,"&lt;&gt;")</f>
        <v>0</v>
      </c>
      <c r="D10" s="14" t="n">
        <f aca="false">COUNTIFS('Lembar Ronde'!$A$27:$A$83,"SLB-*",'Lembar Ronde'!$D$27:$D$83,"Sesuai")</f>
        <v>0</v>
      </c>
      <c r="E10" s="14" t="n">
        <f aca="false">COUNTIFS('Lembar Ronde'!$A$27:$A$83,"SLB-*",'Lembar Ronde'!$D$27:$D$83,"Tidak")</f>
        <v>0</v>
      </c>
      <c r="F10" s="14" t="n">
        <f aca="false">COUNTIFS('Lembar Ronde'!$A$27:$A$83,"SLB-*",'Lembar Ronde'!$D$27:$D$83,"N/A")</f>
        <v>0</v>
      </c>
      <c r="G10" s="58" t="str">
        <f aca="false">IFERROR(SUMIF('Lembar Ronde'!$A$27:$A$83,"SLB-*",'Lembar Ronde'!$G$27:$G$83)/SUMIF('Lembar Ronde'!$A$27:$A$83,"SLB-*",'Lembar Ronde'!$F$27:$F$83),"")</f>
        <v/>
      </c>
      <c r="H10" s="59" t="n">
        <f aca="false">COUNTIFS('Lembar Ronde'!$A$27:$A$83,"SLB-*",'Lembar Ronde'!$C$27:$C$83,"Kritis",'Lembar Ronde'!$D$27:$D$83,"Tidak")</f>
        <v>0</v>
      </c>
    </row>
    <row r="11" customFormat="false" ht="16.5" hidden="false" customHeight="true" outlineLevel="0" collapsed="false">
      <c r="B11" s="40" t="s">
        <v>251</v>
      </c>
      <c r="C11" s="14" t="n">
        <f aca="false">COUNTIFS('Lembar Ronde'!$A$27:$A$83,"PRL-*",'Lembar Ronde'!$D$27:$D$83,"&lt;&gt;")</f>
        <v>0</v>
      </c>
      <c r="D11" s="14" t="n">
        <f aca="false">COUNTIFS('Lembar Ronde'!$A$27:$A$83,"PRL-*",'Lembar Ronde'!$D$27:$D$83,"Sesuai")</f>
        <v>0</v>
      </c>
      <c r="E11" s="14" t="n">
        <f aca="false">COUNTIFS('Lembar Ronde'!$A$27:$A$83,"PRL-*",'Lembar Ronde'!$D$27:$D$83,"Tidak")</f>
        <v>0</v>
      </c>
      <c r="F11" s="14" t="n">
        <f aca="false">COUNTIFS('Lembar Ronde'!$A$27:$A$83,"PRL-*",'Lembar Ronde'!$D$27:$D$83,"N/A")</f>
        <v>0</v>
      </c>
      <c r="G11" s="58" t="str">
        <f aca="false">IFERROR(SUMIF('Lembar Ronde'!$A$27:$A$83,"PRL-*",'Lembar Ronde'!$G$27:$G$83)/SUMIF('Lembar Ronde'!$A$27:$A$83,"PRL-*",'Lembar Ronde'!$F$27:$F$83),"")</f>
        <v/>
      </c>
      <c r="H11" s="59" t="n">
        <f aca="false">COUNTIFS('Lembar Ronde'!$A$27:$A$83,"PRL-*",'Lembar Ronde'!$C$27:$C$83,"Kritis",'Lembar Ronde'!$D$27:$D$83,"Tidak")</f>
        <v>0</v>
      </c>
    </row>
    <row r="12" customFormat="false" ht="16.5" hidden="false" customHeight="true" outlineLevel="0" collapsed="false">
      <c r="B12" s="40" t="s">
        <v>252</v>
      </c>
      <c r="C12" s="14" t="n">
        <f aca="false">COUNTIFS('Lembar Ronde'!$A$27:$A$83,"ZON-*",'Lembar Ronde'!$D$27:$D$83,"&lt;&gt;")</f>
        <v>0</v>
      </c>
      <c r="D12" s="14" t="n">
        <f aca="false">COUNTIFS('Lembar Ronde'!$A$27:$A$83,"ZON-*",'Lembar Ronde'!$D$27:$D$83,"Sesuai")</f>
        <v>0</v>
      </c>
      <c r="E12" s="14" t="n">
        <f aca="false">COUNTIFS('Lembar Ronde'!$A$27:$A$83,"ZON-*",'Lembar Ronde'!$D$27:$D$83,"Tidak")</f>
        <v>0</v>
      </c>
      <c r="F12" s="14" t="n">
        <f aca="false">COUNTIFS('Lembar Ronde'!$A$27:$A$83,"ZON-*",'Lembar Ronde'!$D$27:$D$83,"N/A")</f>
        <v>0</v>
      </c>
      <c r="G12" s="58" t="str">
        <f aca="false">IFERROR(SUMIF('Lembar Ronde'!$A$27:$A$83,"ZON-*",'Lembar Ronde'!$G$27:$G$83)/SUMIF('Lembar Ronde'!$A$27:$A$83,"ZON-*",'Lembar Ronde'!$F$27:$F$83),"")</f>
        <v/>
      </c>
      <c r="H12" s="59" t="n">
        <f aca="false">COUNTIFS('Lembar Ronde'!$A$27:$A$83,"ZON-*",'Lembar Ronde'!$C$27:$C$83,"Kritis",'Lembar Ronde'!$D$27:$D$83,"Tidak")</f>
        <v>0</v>
      </c>
    </row>
    <row r="13" customFormat="false" ht="15" hidden="false" customHeight="false" outlineLevel="0" collapsed="false">
      <c r="B13" s="60" t="s">
        <v>253</v>
      </c>
      <c r="C13" s="61" t="n">
        <f aca="false">SUM(C6:C12)</f>
        <v>0</v>
      </c>
      <c r="D13" s="61" t="n">
        <f aca="false">SUM(D6:D12)</f>
        <v>0</v>
      </c>
      <c r="E13" s="61" t="n">
        <f aca="false">SUM(E6:E12)</f>
        <v>0</v>
      </c>
      <c r="F13" s="61" t="n">
        <f aca="false">SUM(F6:F12)</f>
        <v>0</v>
      </c>
      <c r="G13" s="62" t="str">
        <f aca="false">'Lembar Ronde'!$C$88</f>
        <v/>
      </c>
      <c r="H13" s="61" t="n">
        <f aca="false">SUM(H6:H12)</f>
        <v>0</v>
      </c>
    </row>
    <row r="15" customFormat="false" ht="15" hidden="false" customHeight="true" outlineLevel="0" collapsed="false">
      <c r="B15" s="63" t="s">
        <v>254</v>
      </c>
      <c r="C15" s="63"/>
      <c r="D15" s="63"/>
      <c r="E15" s="63"/>
      <c r="F15" s="63"/>
      <c r="G15" s="63"/>
      <c r="H15" s="63"/>
    </row>
  </sheetData>
  <mergeCells count="3">
    <mergeCell ref="B2:H2"/>
    <mergeCell ref="B3:H3"/>
    <mergeCell ref="B15:H15"/>
  </mergeCells>
  <conditionalFormatting sqref="H6:H12">
    <cfRule type="cellIs" priority="2" operator="greaterThan" aboveAverage="0" equalAverage="0" bottom="0" percent="0" rank="0" text="" dxfId="0">
      <formula>0</formula>
    </cfRule>
  </conditionalFormatting>
  <conditionalFormatting sqref="G6:G12">
    <cfRule type="cellIs" priority="3" operator="lessThan" aboveAverage="0" equalAverage="0" bottom="0" percent="0" rank="0" text="" dxfId="4">
      <formula>0.85</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K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9"/>
    <col collapsed="false" customWidth="true" hidden="false" outlineLevel="0" max="4" min="4" style="0" width="54"/>
    <col collapsed="false" customWidth="true" hidden="false" outlineLevel="0" max="5" min="5" style="0" width="9"/>
    <col collapsed="false" customWidth="true" hidden="false" outlineLevel="0" max="6" min="6" style="0" width="34"/>
    <col collapsed="false" customWidth="true" hidden="false" outlineLevel="0" max="7" min="7" style="0" width="7"/>
    <col collapsed="false" customWidth="true" hidden="false" outlineLevel="0" max="8" min="8" style="0" width="12"/>
    <col collapsed="false" customWidth="true" hidden="false" outlineLevel="0" max="9" min="9" style="0" width="20"/>
    <col collapsed="false" customWidth="true" hidden="false" outlineLevel="0" max="10" min="10" style="0" width="11"/>
    <col collapsed="false" customWidth="true" hidden="false" outlineLevel="0" max="11" min="11" style="0" width="22"/>
  </cols>
  <sheetData>
    <row r="2" customFormat="false" ht="25.5" hidden="false" customHeight="true" outlineLevel="0" collapsed="false">
      <c r="B2" s="1" t="s">
        <v>255</v>
      </c>
      <c r="C2" s="1"/>
      <c r="D2" s="1"/>
      <c r="E2" s="1"/>
      <c r="F2" s="1"/>
      <c r="G2" s="1"/>
      <c r="H2" s="1"/>
      <c r="I2" s="1"/>
      <c r="J2" s="1"/>
      <c r="K2" s="1"/>
    </row>
    <row r="3" customFormat="false" ht="18" hidden="false" customHeight="true" outlineLevel="0" collapsed="false">
      <c r="B3" s="2" t="s">
        <v>256</v>
      </c>
      <c r="C3" s="2"/>
      <c r="D3" s="2"/>
      <c r="E3" s="2"/>
      <c r="F3" s="2"/>
      <c r="G3" s="2"/>
      <c r="H3" s="2"/>
      <c r="I3" s="2"/>
      <c r="J3" s="2"/>
      <c r="K3" s="2"/>
    </row>
    <row r="5" customFormat="false" ht="24" hidden="false" customHeight="true" outlineLevel="0" collapsed="false">
      <c r="B5" s="44" t="s">
        <v>257</v>
      </c>
      <c r="C5" s="44" t="s">
        <v>59</v>
      </c>
      <c r="D5" s="44" t="s">
        <v>258</v>
      </c>
      <c r="E5" s="44" t="s">
        <v>29</v>
      </c>
      <c r="F5" s="44" t="s">
        <v>61</v>
      </c>
      <c r="G5" s="44" t="s">
        <v>259</v>
      </c>
      <c r="H5" s="44" t="s">
        <v>260</v>
      </c>
      <c r="I5" s="44" t="s">
        <v>261</v>
      </c>
      <c r="J5" s="44" t="s">
        <v>93</v>
      </c>
      <c r="K5" s="44" t="s">
        <v>262</v>
      </c>
    </row>
    <row r="6" customFormat="false" ht="27.75" hidden="false" customHeight="true" outlineLevel="0" collapsed="false">
      <c r="B6" s="46" t="n">
        <v>1</v>
      </c>
      <c r="C6" s="46" t="str">
        <f aca="false">IFERROR(INDEX('Lembar Ronde'!$A$27:$A$83,MATCH($B6,'Lembar Ronde'!$H$27:$H$83,0)),"")</f>
        <v/>
      </c>
      <c r="D6" s="64" t="str">
        <f aca="false">IFERROR(INDEX('Lembar Ronde'!$B$27:$B$83,MATCH($B6,'Lembar Ronde'!$H$27:$H$83,0)),"")</f>
        <v/>
      </c>
      <c r="E6" s="65" t="str">
        <f aca="false">IFERROR(INDEX('Lembar Ronde'!$C$27:$C$83,MATCH($B6,'Lembar Ronde'!$H$27:$H$83,0)),"")</f>
        <v/>
      </c>
      <c r="F6" s="64" t="str">
        <f aca="false">IFERROR(INDEX('Lembar Ronde'!$E$27:$E$83,MATCH($B6,'Lembar Ronde'!$H$27:$H$83,0)),"")</f>
        <v/>
      </c>
      <c r="G6" s="66" t="str">
        <f aca="false">IF($E6="","",IF($E6="Kritis",1,IF($E6="Mayor",3,7)))</f>
        <v/>
      </c>
      <c r="H6" s="67" t="str">
        <f aca="false">IF($G6="","",IF('Lembar Ronde'!$C$7="","isi tanggal ronde",'Lembar Ronde'!$C$7+$G6))</f>
        <v/>
      </c>
      <c r="I6" s="28"/>
      <c r="J6" s="41"/>
      <c r="K6" s="28"/>
    </row>
    <row r="7" customFormat="false" ht="27.75" hidden="false" customHeight="true" outlineLevel="0" collapsed="false">
      <c r="B7" s="46" t="n">
        <v>2</v>
      </c>
      <c r="C7" s="46" t="str">
        <f aca="false">IFERROR(INDEX('Lembar Ronde'!$A$27:$A$83,MATCH($B7,'Lembar Ronde'!$H$27:$H$83,0)),"")</f>
        <v/>
      </c>
      <c r="D7" s="64" t="str">
        <f aca="false">IFERROR(INDEX('Lembar Ronde'!$B$27:$B$83,MATCH($B7,'Lembar Ronde'!$H$27:$H$83,0)),"")</f>
        <v/>
      </c>
      <c r="E7" s="65" t="str">
        <f aca="false">IFERROR(INDEX('Lembar Ronde'!$C$27:$C$83,MATCH($B7,'Lembar Ronde'!$H$27:$H$83,0)),"")</f>
        <v/>
      </c>
      <c r="F7" s="64" t="str">
        <f aca="false">IFERROR(INDEX('Lembar Ronde'!$E$27:$E$83,MATCH($B7,'Lembar Ronde'!$H$27:$H$83,0)),"")</f>
        <v/>
      </c>
      <c r="G7" s="66" t="str">
        <f aca="false">IF($E7="","",IF($E7="Kritis",1,IF($E7="Mayor",3,7)))</f>
        <v/>
      </c>
      <c r="H7" s="67" t="str">
        <f aca="false">IF($G7="","",IF('Lembar Ronde'!$C$7="","isi tanggal ronde",'Lembar Ronde'!$C$7+$G7))</f>
        <v/>
      </c>
      <c r="I7" s="28"/>
      <c r="J7" s="41"/>
      <c r="K7" s="28"/>
    </row>
    <row r="8" customFormat="false" ht="27.75" hidden="false" customHeight="true" outlineLevel="0" collapsed="false">
      <c r="B8" s="46" t="n">
        <v>3</v>
      </c>
      <c r="C8" s="46" t="str">
        <f aca="false">IFERROR(INDEX('Lembar Ronde'!$A$27:$A$83,MATCH($B8,'Lembar Ronde'!$H$27:$H$83,0)),"")</f>
        <v/>
      </c>
      <c r="D8" s="64" t="str">
        <f aca="false">IFERROR(INDEX('Lembar Ronde'!$B$27:$B$83,MATCH($B8,'Lembar Ronde'!$H$27:$H$83,0)),"")</f>
        <v/>
      </c>
      <c r="E8" s="65" t="str">
        <f aca="false">IFERROR(INDEX('Lembar Ronde'!$C$27:$C$83,MATCH($B8,'Lembar Ronde'!$H$27:$H$83,0)),"")</f>
        <v/>
      </c>
      <c r="F8" s="64" t="str">
        <f aca="false">IFERROR(INDEX('Lembar Ronde'!$E$27:$E$83,MATCH($B8,'Lembar Ronde'!$H$27:$H$83,0)),"")</f>
        <v/>
      </c>
      <c r="G8" s="66" t="str">
        <f aca="false">IF($E8="","",IF($E8="Kritis",1,IF($E8="Mayor",3,7)))</f>
        <v/>
      </c>
      <c r="H8" s="67" t="str">
        <f aca="false">IF($G8="","",IF('Lembar Ronde'!$C$7="","isi tanggal ronde",'Lembar Ronde'!$C$7+$G8))</f>
        <v/>
      </c>
      <c r="I8" s="28"/>
      <c r="J8" s="41"/>
      <c r="K8" s="28"/>
    </row>
    <row r="9" customFormat="false" ht="27.75" hidden="false" customHeight="true" outlineLevel="0" collapsed="false">
      <c r="B9" s="46" t="n">
        <v>4</v>
      </c>
      <c r="C9" s="46" t="str">
        <f aca="false">IFERROR(INDEX('Lembar Ronde'!$A$27:$A$83,MATCH($B9,'Lembar Ronde'!$H$27:$H$83,0)),"")</f>
        <v/>
      </c>
      <c r="D9" s="64" t="str">
        <f aca="false">IFERROR(INDEX('Lembar Ronde'!$B$27:$B$83,MATCH($B9,'Lembar Ronde'!$H$27:$H$83,0)),"")</f>
        <v/>
      </c>
      <c r="E9" s="65" t="str">
        <f aca="false">IFERROR(INDEX('Lembar Ronde'!$C$27:$C$83,MATCH($B9,'Lembar Ronde'!$H$27:$H$83,0)),"")</f>
        <v/>
      </c>
      <c r="F9" s="64" t="str">
        <f aca="false">IFERROR(INDEX('Lembar Ronde'!$E$27:$E$83,MATCH($B9,'Lembar Ronde'!$H$27:$H$83,0)),"")</f>
        <v/>
      </c>
      <c r="G9" s="66" t="str">
        <f aca="false">IF($E9="","",IF($E9="Kritis",1,IF($E9="Mayor",3,7)))</f>
        <v/>
      </c>
      <c r="H9" s="67" t="str">
        <f aca="false">IF($G9="","",IF('Lembar Ronde'!$C$7="","isi tanggal ronde",'Lembar Ronde'!$C$7+$G9))</f>
        <v/>
      </c>
      <c r="I9" s="28"/>
      <c r="J9" s="41"/>
      <c r="K9" s="28"/>
    </row>
    <row r="10" customFormat="false" ht="27.75" hidden="false" customHeight="true" outlineLevel="0" collapsed="false">
      <c r="B10" s="46" t="n">
        <v>5</v>
      </c>
      <c r="C10" s="46" t="str">
        <f aca="false">IFERROR(INDEX('Lembar Ronde'!$A$27:$A$83,MATCH($B10,'Lembar Ronde'!$H$27:$H$83,0)),"")</f>
        <v/>
      </c>
      <c r="D10" s="64" t="str">
        <f aca="false">IFERROR(INDEX('Lembar Ronde'!$B$27:$B$83,MATCH($B10,'Lembar Ronde'!$H$27:$H$83,0)),"")</f>
        <v/>
      </c>
      <c r="E10" s="65" t="str">
        <f aca="false">IFERROR(INDEX('Lembar Ronde'!$C$27:$C$83,MATCH($B10,'Lembar Ronde'!$H$27:$H$83,0)),"")</f>
        <v/>
      </c>
      <c r="F10" s="64" t="str">
        <f aca="false">IFERROR(INDEX('Lembar Ronde'!$E$27:$E$83,MATCH($B10,'Lembar Ronde'!$H$27:$H$83,0)),"")</f>
        <v/>
      </c>
      <c r="G10" s="66" t="str">
        <f aca="false">IF($E10="","",IF($E10="Kritis",1,IF($E10="Mayor",3,7)))</f>
        <v/>
      </c>
      <c r="H10" s="67" t="str">
        <f aca="false">IF($G10="","",IF('Lembar Ronde'!$C$7="","isi tanggal ronde",'Lembar Ronde'!$C$7+$G10))</f>
        <v/>
      </c>
      <c r="I10" s="28"/>
      <c r="J10" s="41"/>
      <c r="K10" s="28"/>
    </row>
    <row r="11" customFormat="false" ht="27.75" hidden="false" customHeight="true" outlineLevel="0" collapsed="false">
      <c r="B11" s="46" t="n">
        <v>6</v>
      </c>
      <c r="C11" s="46" t="str">
        <f aca="false">IFERROR(INDEX('Lembar Ronde'!$A$27:$A$83,MATCH($B11,'Lembar Ronde'!$H$27:$H$83,0)),"")</f>
        <v/>
      </c>
      <c r="D11" s="64" t="str">
        <f aca="false">IFERROR(INDEX('Lembar Ronde'!$B$27:$B$83,MATCH($B11,'Lembar Ronde'!$H$27:$H$83,0)),"")</f>
        <v/>
      </c>
      <c r="E11" s="65" t="str">
        <f aca="false">IFERROR(INDEX('Lembar Ronde'!$C$27:$C$83,MATCH($B11,'Lembar Ronde'!$H$27:$H$83,0)),"")</f>
        <v/>
      </c>
      <c r="F11" s="64" t="str">
        <f aca="false">IFERROR(INDEX('Lembar Ronde'!$E$27:$E$83,MATCH($B11,'Lembar Ronde'!$H$27:$H$83,0)),"")</f>
        <v/>
      </c>
      <c r="G11" s="66" t="str">
        <f aca="false">IF($E11="","",IF($E11="Kritis",1,IF($E11="Mayor",3,7)))</f>
        <v/>
      </c>
      <c r="H11" s="67" t="str">
        <f aca="false">IF($G11="","",IF('Lembar Ronde'!$C$7="","isi tanggal ronde",'Lembar Ronde'!$C$7+$G11))</f>
        <v/>
      </c>
      <c r="I11" s="28"/>
      <c r="J11" s="41"/>
      <c r="K11" s="28"/>
    </row>
    <row r="12" customFormat="false" ht="27.75" hidden="false" customHeight="true" outlineLevel="0" collapsed="false">
      <c r="B12" s="46" t="n">
        <v>7</v>
      </c>
      <c r="C12" s="46" t="str">
        <f aca="false">IFERROR(INDEX('Lembar Ronde'!$A$27:$A$83,MATCH($B12,'Lembar Ronde'!$H$27:$H$83,0)),"")</f>
        <v/>
      </c>
      <c r="D12" s="64" t="str">
        <f aca="false">IFERROR(INDEX('Lembar Ronde'!$B$27:$B$83,MATCH($B12,'Lembar Ronde'!$H$27:$H$83,0)),"")</f>
        <v/>
      </c>
      <c r="E12" s="65" t="str">
        <f aca="false">IFERROR(INDEX('Lembar Ronde'!$C$27:$C$83,MATCH($B12,'Lembar Ronde'!$H$27:$H$83,0)),"")</f>
        <v/>
      </c>
      <c r="F12" s="64" t="str">
        <f aca="false">IFERROR(INDEX('Lembar Ronde'!$E$27:$E$83,MATCH($B12,'Lembar Ronde'!$H$27:$H$83,0)),"")</f>
        <v/>
      </c>
      <c r="G12" s="66" t="str">
        <f aca="false">IF($E12="","",IF($E12="Kritis",1,IF($E12="Mayor",3,7)))</f>
        <v/>
      </c>
      <c r="H12" s="67" t="str">
        <f aca="false">IF($G12="","",IF('Lembar Ronde'!$C$7="","isi tanggal ronde",'Lembar Ronde'!$C$7+$G12))</f>
        <v/>
      </c>
      <c r="I12" s="28"/>
      <c r="J12" s="41"/>
      <c r="K12" s="28"/>
    </row>
    <row r="13" customFormat="false" ht="27.75" hidden="false" customHeight="true" outlineLevel="0" collapsed="false">
      <c r="B13" s="46" t="n">
        <v>8</v>
      </c>
      <c r="C13" s="46" t="str">
        <f aca="false">IFERROR(INDEX('Lembar Ronde'!$A$27:$A$83,MATCH($B13,'Lembar Ronde'!$H$27:$H$83,0)),"")</f>
        <v/>
      </c>
      <c r="D13" s="64" t="str">
        <f aca="false">IFERROR(INDEX('Lembar Ronde'!$B$27:$B$83,MATCH($B13,'Lembar Ronde'!$H$27:$H$83,0)),"")</f>
        <v/>
      </c>
      <c r="E13" s="65" t="str">
        <f aca="false">IFERROR(INDEX('Lembar Ronde'!$C$27:$C$83,MATCH($B13,'Lembar Ronde'!$H$27:$H$83,0)),"")</f>
        <v/>
      </c>
      <c r="F13" s="64" t="str">
        <f aca="false">IFERROR(INDEX('Lembar Ronde'!$E$27:$E$83,MATCH($B13,'Lembar Ronde'!$H$27:$H$83,0)),"")</f>
        <v/>
      </c>
      <c r="G13" s="66" t="str">
        <f aca="false">IF($E13="","",IF($E13="Kritis",1,IF($E13="Mayor",3,7)))</f>
        <v/>
      </c>
      <c r="H13" s="67" t="str">
        <f aca="false">IF($G13="","",IF('Lembar Ronde'!$C$7="","isi tanggal ronde",'Lembar Ronde'!$C$7+$G13))</f>
        <v/>
      </c>
      <c r="I13" s="28"/>
      <c r="J13" s="41"/>
      <c r="K13" s="28"/>
    </row>
    <row r="14" customFormat="false" ht="27.75" hidden="false" customHeight="true" outlineLevel="0" collapsed="false">
      <c r="B14" s="46" t="n">
        <v>9</v>
      </c>
      <c r="C14" s="46" t="str">
        <f aca="false">IFERROR(INDEX('Lembar Ronde'!$A$27:$A$83,MATCH($B14,'Lembar Ronde'!$H$27:$H$83,0)),"")</f>
        <v/>
      </c>
      <c r="D14" s="64" t="str">
        <f aca="false">IFERROR(INDEX('Lembar Ronde'!$B$27:$B$83,MATCH($B14,'Lembar Ronde'!$H$27:$H$83,0)),"")</f>
        <v/>
      </c>
      <c r="E14" s="65" t="str">
        <f aca="false">IFERROR(INDEX('Lembar Ronde'!$C$27:$C$83,MATCH($B14,'Lembar Ronde'!$H$27:$H$83,0)),"")</f>
        <v/>
      </c>
      <c r="F14" s="64" t="str">
        <f aca="false">IFERROR(INDEX('Lembar Ronde'!$E$27:$E$83,MATCH($B14,'Lembar Ronde'!$H$27:$H$83,0)),"")</f>
        <v/>
      </c>
      <c r="G14" s="66" t="str">
        <f aca="false">IF($E14="","",IF($E14="Kritis",1,IF($E14="Mayor",3,7)))</f>
        <v/>
      </c>
      <c r="H14" s="67" t="str">
        <f aca="false">IF($G14="","",IF('Lembar Ronde'!$C$7="","isi tanggal ronde",'Lembar Ronde'!$C$7+$G14))</f>
        <v/>
      </c>
      <c r="I14" s="28"/>
      <c r="J14" s="41"/>
      <c r="K14" s="28"/>
    </row>
    <row r="15" customFormat="false" ht="27.75" hidden="false" customHeight="true" outlineLevel="0" collapsed="false">
      <c r="B15" s="46" t="n">
        <v>10</v>
      </c>
      <c r="C15" s="46" t="str">
        <f aca="false">IFERROR(INDEX('Lembar Ronde'!$A$27:$A$83,MATCH($B15,'Lembar Ronde'!$H$27:$H$83,0)),"")</f>
        <v/>
      </c>
      <c r="D15" s="64" t="str">
        <f aca="false">IFERROR(INDEX('Lembar Ronde'!$B$27:$B$83,MATCH($B15,'Lembar Ronde'!$H$27:$H$83,0)),"")</f>
        <v/>
      </c>
      <c r="E15" s="65" t="str">
        <f aca="false">IFERROR(INDEX('Lembar Ronde'!$C$27:$C$83,MATCH($B15,'Lembar Ronde'!$H$27:$H$83,0)),"")</f>
        <v/>
      </c>
      <c r="F15" s="64" t="str">
        <f aca="false">IFERROR(INDEX('Lembar Ronde'!$E$27:$E$83,MATCH($B15,'Lembar Ronde'!$H$27:$H$83,0)),"")</f>
        <v/>
      </c>
      <c r="G15" s="66" t="str">
        <f aca="false">IF($E15="","",IF($E15="Kritis",1,IF($E15="Mayor",3,7)))</f>
        <v/>
      </c>
      <c r="H15" s="67" t="str">
        <f aca="false">IF($G15="","",IF('Lembar Ronde'!$C$7="","isi tanggal ronde",'Lembar Ronde'!$C$7+$G15))</f>
        <v/>
      </c>
      <c r="I15" s="28"/>
      <c r="J15" s="41"/>
      <c r="K15" s="28"/>
    </row>
    <row r="16" customFormat="false" ht="27.75" hidden="false" customHeight="true" outlineLevel="0" collapsed="false">
      <c r="B16" s="46" t="n">
        <v>11</v>
      </c>
      <c r="C16" s="46" t="str">
        <f aca="false">IFERROR(INDEX('Lembar Ronde'!$A$27:$A$83,MATCH($B16,'Lembar Ronde'!$H$27:$H$83,0)),"")</f>
        <v/>
      </c>
      <c r="D16" s="64" t="str">
        <f aca="false">IFERROR(INDEX('Lembar Ronde'!$B$27:$B$83,MATCH($B16,'Lembar Ronde'!$H$27:$H$83,0)),"")</f>
        <v/>
      </c>
      <c r="E16" s="65" t="str">
        <f aca="false">IFERROR(INDEX('Lembar Ronde'!$C$27:$C$83,MATCH($B16,'Lembar Ronde'!$H$27:$H$83,0)),"")</f>
        <v/>
      </c>
      <c r="F16" s="64" t="str">
        <f aca="false">IFERROR(INDEX('Lembar Ronde'!$E$27:$E$83,MATCH($B16,'Lembar Ronde'!$H$27:$H$83,0)),"")</f>
        <v/>
      </c>
      <c r="G16" s="66" t="str">
        <f aca="false">IF($E16="","",IF($E16="Kritis",1,IF($E16="Mayor",3,7)))</f>
        <v/>
      </c>
      <c r="H16" s="67" t="str">
        <f aca="false">IF($G16="","",IF('Lembar Ronde'!$C$7="","isi tanggal ronde",'Lembar Ronde'!$C$7+$G16))</f>
        <v/>
      </c>
      <c r="I16" s="28"/>
      <c r="J16" s="41"/>
      <c r="K16" s="28"/>
    </row>
    <row r="17" customFormat="false" ht="27.75" hidden="false" customHeight="true" outlineLevel="0" collapsed="false">
      <c r="B17" s="46" t="n">
        <v>12</v>
      </c>
      <c r="C17" s="46" t="str">
        <f aca="false">IFERROR(INDEX('Lembar Ronde'!$A$27:$A$83,MATCH($B17,'Lembar Ronde'!$H$27:$H$83,0)),"")</f>
        <v/>
      </c>
      <c r="D17" s="64" t="str">
        <f aca="false">IFERROR(INDEX('Lembar Ronde'!$B$27:$B$83,MATCH($B17,'Lembar Ronde'!$H$27:$H$83,0)),"")</f>
        <v/>
      </c>
      <c r="E17" s="65" t="str">
        <f aca="false">IFERROR(INDEX('Lembar Ronde'!$C$27:$C$83,MATCH($B17,'Lembar Ronde'!$H$27:$H$83,0)),"")</f>
        <v/>
      </c>
      <c r="F17" s="64" t="str">
        <f aca="false">IFERROR(INDEX('Lembar Ronde'!$E$27:$E$83,MATCH($B17,'Lembar Ronde'!$H$27:$H$83,0)),"")</f>
        <v/>
      </c>
      <c r="G17" s="66" t="str">
        <f aca="false">IF($E17="","",IF($E17="Kritis",1,IF($E17="Mayor",3,7)))</f>
        <v/>
      </c>
      <c r="H17" s="67" t="str">
        <f aca="false">IF($G17="","",IF('Lembar Ronde'!$C$7="","isi tanggal ronde",'Lembar Ronde'!$C$7+$G17))</f>
        <v/>
      </c>
      <c r="I17" s="28"/>
      <c r="J17" s="41"/>
      <c r="K17" s="28"/>
    </row>
    <row r="18" customFormat="false" ht="27.75" hidden="false" customHeight="true" outlineLevel="0" collapsed="false">
      <c r="B18" s="46" t="n">
        <v>13</v>
      </c>
      <c r="C18" s="46" t="str">
        <f aca="false">IFERROR(INDEX('Lembar Ronde'!$A$27:$A$83,MATCH($B18,'Lembar Ronde'!$H$27:$H$83,0)),"")</f>
        <v/>
      </c>
      <c r="D18" s="64" t="str">
        <f aca="false">IFERROR(INDEX('Lembar Ronde'!$B$27:$B$83,MATCH($B18,'Lembar Ronde'!$H$27:$H$83,0)),"")</f>
        <v/>
      </c>
      <c r="E18" s="65" t="str">
        <f aca="false">IFERROR(INDEX('Lembar Ronde'!$C$27:$C$83,MATCH($B18,'Lembar Ronde'!$H$27:$H$83,0)),"")</f>
        <v/>
      </c>
      <c r="F18" s="64" t="str">
        <f aca="false">IFERROR(INDEX('Lembar Ronde'!$E$27:$E$83,MATCH($B18,'Lembar Ronde'!$H$27:$H$83,0)),"")</f>
        <v/>
      </c>
      <c r="G18" s="66" t="str">
        <f aca="false">IF($E18="","",IF($E18="Kritis",1,IF($E18="Mayor",3,7)))</f>
        <v/>
      </c>
      <c r="H18" s="67" t="str">
        <f aca="false">IF($G18="","",IF('Lembar Ronde'!$C$7="","isi tanggal ronde",'Lembar Ronde'!$C$7+$G18))</f>
        <v/>
      </c>
      <c r="I18" s="28"/>
      <c r="J18" s="41"/>
      <c r="K18" s="28"/>
    </row>
    <row r="19" customFormat="false" ht="27.75" hidden="false" customHeight="true" outlineLevel="0" collapsed="false">
      <c r="B19" s="46" t="n">
        <v>14</v>
      </c>
      <c r="C19" s="46" t="str">
        <f aca="false">IFERROR(INDEX('Lembar Ronde'!$A$27:$A$83,MATCH($B19,'Lembar Ronde'!$H$27:$H$83,0)),"")</f>
        <v/>
      </c>
      <c r="D19" s="64" t="str">
        <f aca="false">IFERROR(INDEX('Lembar Ronde'!$B$27:$B$83,MATCH($B19,'Lembar Ronde'!$H$27:$H$83,0)),"")</f>
        <v/>
      </c>
      <c r="E19" s="65" t="str">
        <f aca="false">IFERROR(INDEX('Lembar Ronde'!$C$27:$C$83,MATCH($B19,'Lembar Ronde'!$H$27:$H$83,0)),"")</f>
        <v/>
      </c>
      <c r="F19" s="64" t="str">
        <f aca="false">IFERROR(INDEX('Lembar Ronde'!$E$27:$E$83,MATCH($B19,'Lembar Ronde'!$H$27:$H$83,0)),"")</f>
        <v/>
      </c>
      <c r="G19" s="66" t="str">
        <f aca="false">IF($E19="","",IF($E19="Kritis",1,IF($E19="Mayor",3,7)))</f>
        <v/>
      </c>
      <c r="H19" s="67" t="str">
        <f aca="false">IF($G19="","",IF('Lembar Ronde'!$C$7="","isi tanggal ronde",'Lembar Ronde'!$C$7+$G19))</f>
        <v/>
      </c>
      <c r="I19" s="28"/>
      <c r="J19" s="41"/>
      <c r="K19" s="28"/>
    </row>
    <row r="20" customFormat="false" ht="27.75" hidden="false" customHeight="true" outlineLevel="0" collapsed="false">
      <c r="B20" s="46" t="n">
        <v>15</v>
      </c>
      <c r="C20" s="46" t="str">
        <f aca="false">IFERROR(INDEX('Lembar Ronde'!$A$27:$A$83,MATCH($B20,'Lembar Ronde'!$H$27:$H$83,0)),"")</f>
        <v/>
      </c>
      <c r="D20" s="64" t="str">
        <f aca="false">IFERROR(INDEX('Lembar Ronde'!$B$27:$B$83,MATCH($B20,'Lembar Ronde'!$H$27:$H$83,0)),"")</f>
        <v/>
      </c>
      <c r="E20" s="65" t="str">
        <f aca="false">IFERROR(INDEX('Lembar Ronde'!$C$27:$C$83,MATCH($B20,'Lembar Ronde'!$H$27:$H$83,0)),"")</f>
        <v/>
      </c>
      <c r="F20" s="64" t="str">
        <f aca="false">IFERROR(INDEX('Lembar Ronde'!$E$27:$E$83,MATCH($B20,'Lembar Ronde'!$H$27:$H$83,0)),"")</f>
        <v/>
      </c>
      <c r="G20" s="66" t="str">
        <f aca="false">IF($E20="","",IF($E20="Kritis",1,IF($E20="Mayor",3,7)))</f>
        <v/>
      </c>
      <c r="H20" s="67" t="str">
        <f aca="false">IF($G20="","",IF('Lembar Ronde'!$C$7="","isi tanggal ronde",'Lembar Ronde'!$C$7+$G20))</f>
        <v/>
      </c>
      <c r="I20" s="28"/>
      <c r="J20" s="41"/>
      <c r="K20" s="28"/>
    </row>
    <row r="21" customFormat="false" ht="27.75" hidden="false" customHeight="true" outlineLevel="0" collapsed="false">
      <c r="B21" s="46" t="n">
        <v>16</v>
      </c>
      <c r="C21" s="46" t="str">
        <f aca="false">IFERROR(INDEX('Lembar Ronde'!$A$27:$A$83,MATCH($B21,'Lembar Ronde'!$H$27:$H$83,0)),"")</f>
        <v/>
      </c>
      <c r="D21" s="64" t="str">
        <f aca="false">IFERROR(INDEX('Lembar Ronde'!$B$27:$B$83,MATCH($B21,'Lembar Ronde'!$H$27:$H$83,0)),"")</f>
        <v/>
      </c>
      <c r="E21" s="65" t="str">
        <f aca="false">IFERROR(INDEX('Lembar Ronde'!$C$27:$C$83,MATCH($B21,'Lembar Ronde'!$H$27:$H$83,0)),"")</f>
        <v/>
      </c>
      <c r="F21" s="64" t="str">
        <f aca="false">IFERROR(INDEX('Lembar Ronde'!$E$27:$E$83,MATCH($B21,'Lembar Ronde'!$H$27:$H$83,0)),"")</f>
        <v/>
      </c>
      <c r="G21" s="66" t="str">
        <f aca="false">IF($E21="","",IF($E21="Kritis",1,IF($E21="Mayor",3,7)))</f>
        <v/>
      </c>
      <c r="H21" s="67" t="str">
        <f aca="false">IF($G21="","",IF('Lembar Ronde'!$C$7="","isi tanggal ronde",'Lembar Ronde'!$C$7+$G21))</f>
        <v/>
      </c>
      <c r="I21" s="28"/>
      <c r="J21" s="41"/>
      <c r="K21" s="28"/>
    </row>
    <row r="22" customFormat="false" ht="27.75" hidden="false" customHeight="true" outlineLevel="0" collapsed="false">
      <c r="B22" s="46" t="n">
        <v>17</v>
      </c>
      <c r="C22" s="46" t="str">
        <f aca="false">IFERROR(INDEX('Lembar Ronde'!$A$27:$A$83,MATCH($B22,'Lembar Ronde'!$H$27:$H$83,0)),"")</f>
        <v/>
      </c>
      <c r="D22" s="64" t="str">
        <f aca="false">IFERROR(INDEX('Lembar Ronde'!$B$27:$B$83,MATCH($B22,'Lembar Ronde'!$H$27:$H$83,0)),"")</f>
        <v/>
      </c>
      <c r="E22" s="65" t="str">
        <f aca="false">IFERROR(INDEX('Lembar Ronde'!$C$27:$C$83,MATCH($B22,'Lembar Ronde'!$H$27:$H$83,0)),"")</f>
        <v/>
      </c>
      <c r="F22" s="64" t="str">
        <f aca="false">IFERROR(INDEX('Lembar Ronde'!$E$27:$E$83,MATCH($B22,'Lembar Ronde'!$H$27:$H$83,0)),"")</f>
        <v/>
      </c>
      <c r="G22" s="66" t="str">
        <f aca="false">IF($E22="","",IF($E22="Kritis",1,IF($E22="Mayor",3,7)))</f>
        <v/>
      </c>
      <c r="H22" s="67" t="str">
        <f aca="false">IF($G22="","",IF('Lembar Ronde'!$C$7="","isi tanggal ronde",'Lembar Ronde'!$C$7+$G22))</f>
        <v/>
      </c>
      <c r="I22" s="28"/>
      <c r="J22" s="41"/>
      <c r="K22" s="28"/>
    </row>
    <row r="23" customFormat="false" ht="27.75" hidden="false" customHeight="true" outlineLevel="0" collapsed="false">
      <c r="B23" s="46" t="n">
        <v>18</v>
      </c>
      <c r="C23" s="46" t="str">
        <f aca="false">IFERROR(INDEX('Lembar Ronde'!$A$27:$A$83,MATCH($B23,'Lembar Ronde'!$H$27:$H$83,0)),"")</f>
        <v/>
      </c>
      <c r="D23" s="64" t="str">
        <f aca="false">IFERROR(INDEX('Lembar Ronde'!$B$27:$B$83,MATCH($B23,'Lembar Ronde'!$H$27:$H$83,0)),"")</f>
        <v/>
      </c>
      <c r="E23" s="65" t="str">
        <f aca="false">IFERROR(INDEX('Lembar Ronde'!$C$27:$C$83,MATCH($B23,'Lembar Ronde'!$H$27:$H$83,0)),"")</f>
        <v/>
      </c>
      <c r="F23" s="64" t="str">
        <f aca="false">IFERROR(INDEX('Lembar Ronde'!$E$27:$E$83,MATCH($B23,'Lembar Ronde'!$H$27:$H$83,0)),"")</f>
        <v/>
      </c>
      <c r="G23" s="66" t="str">
        <f aca="false">IF($E23="","",IF($E23="Kritis",1,IF($E23="Mayor",3,7)))</f>
        <v/>
      </c>
      <c r="H23" s="67" t="str">
        <f aca="false">IF($G23="","",IF('Lembar Ronde'!$C$7="","isi tanggal ronde",'Lembar Ronde'!$C$7+$G23))</f>
        <v/>
      </c>
      <c r="I23" s="28"/>
      <c r="J23" s="41"/>
      <c r="K23" s="28"/>
    </row>
    <row r="24" customFormat="false" ht="27.75" hidden="false" customHeight="true" outlineLevel="0" collapsed="false">
      <c r="B24" s="46" t="n">
        <v>19</v>
      </c>
      <c r="C24" s="46" t="str">
        <f aca="false">IFERROR(INDEX('Lembar Ronde'!$A$27:$A$83,MATCH($B24,'Lembar Ronde'!$H$27:$H$83,0)),"")</f>
        <v/>
      </c>
      <c r="D24" s="64" t="str">
        <f aca="false">IFERROR(INDEX('Lembar Ronde'!$B$27:$B$83,MATCH($B24,'Lembar Ronde'!$H$27:$H$83,0)),"")</f>
        <v/>
      </c>
      <c r="E24" s="65" t="str">
        <f aca="false">IFERROR(INDEX('Lembar Ronde'!$C$27:$C$83,MATCH($B24,'Lembar Ronde'!$H$27:$H$83,0)),"")</f>
        <v/>
      </c>
      <c r="F24" s="64" t="str">
        <f aca="false">IFERROR(INDEX('Lembar Ronde'!$E$27:$E$83,MATCH($B24,'Lembar Ronde'!$H$27:$H$83,0)),"")</f>
        <v/>
      </c>
      <c r="G24" s="66" t="str">
        <f aca="false">IF($E24="","",IF($E24="Kritis",1,IF($E24="Mayor",3,7)))</f>
        <v/>
      </c>
      <c r="H24" s="67" t="str">
        <f aca="false">IF($G24="","",IF('Lembar Ronde'!$C$7="","isi tanggal ronde",'Lembar Ronde'!$C$7+$G24))</f>
        <v/>
      </c>
      <c r="I24" s="28"/>
      <c r="J24" s="41"/>
      <c r="K24" s="28"/>
    </row>
    <row r="25" customFormat="false" ht="27.75" hidden="false" customHeight="true" outlineLevel="0" collapsed="false">
      <c r="B25" s="46" t="n">
        <v>20</v>
      </c>
      <c r="C25" s="46" t="str">
        <f aca="false">IFERROR(INDEX('Lembar Ronde'!$A$27:$A$83,MATCH($B25,'Lembar Ronde'!$H$27:$H$83,0)),"")</f>
        <v/>
      </c>
      <c r="D25" s="64" t="str">
        <f aca="false">IFERROR(INDEX('Lembar Ronde'!$B$27:$B$83,MATCH($B25,'Lembar Ronde'!$H$27:$H$83,0)),"")</f>
        <v/>
      </c>
      <c r="E25" s="65" t="str">
        <f aca="false">IFERROR(INDEX('Lembar Ronde'!$C$27:$C$83,MATCH($B25,'Lembar Ronde'!$H$27:$H$83,0)),"")</f>
        <v/>
      </c>
      <c r="F25" s="64" t="str">
        <f aca="false">IFERROR(INDEX('Lembar Ronde'!$E$27:$E$83,MATCH($B25,'Lembar Ronde'!$H$27:$H$83,0)),"")</f>
        <v/>
      </c>
      <c r="G25" s="66" t="str">
        <f aca="false">IF($E25="","",IF($E25="Kritis",1,IF($E25="Mayor",3,7)))</f>
        <v/>
      </c>
      <c r="H25" s="67" t="str">
        <f aca="false">IF($G25="","",IF('Lembar Ronde'!$C$7="","isi tanggal ronde",'Lembar Ronde'!$C$7+$G25))</f>
        <v/>
      </c>
      <c r="I25" s="28"/>
      <c r="J25" s="41"/>
      <c r="K25" s="28"/>
    </row>
    <row r="26" customFormat="false" ht="27.75" hidden="false" customHeight="true" outlineLevel="0" collapsed="false">
      <c r="B26" s="46" t="n">
        <v>21</v>
      </c>
      <c r="C26" s="46" t="str">
        <f aca="false">IFERROR(INDEX('Lembar Ronde'!$A$27:$A$83,MATCH($B26,'Lembar Ronde'!$H$27:$H$83,0)),"")</f>
        <v/>
      </c>
      <c r="D26" s="64" t="str">
        <f aca="false">IFERROR(INDEX('Lembar Ronde'!$B$27:$B$83,MATCH($B26,'Lembar Ronde'!$H$27:$H$83,0)),"")</f>
        <v/>
      </c>
      <c r="E26" s="65" t="str">
        <f aca="false">IFERROR(INDEX('Lembar Ronde'!$C$27:$C$83,MATCH($B26,'Lembar Ronde'!$H$27:$H$83,0)),"")</f>
        <v/>
      </c>
      <c r="F26" s="64" t="str">
        <f aca="false">IFERROR(INDEX('Lembar Ronde'!$E$27:$E$83,MATCH($B26,'Lembar Ronde'!$H$27:$H$83,0)),"")</f>
        <v/>
      </c>
      <c r="G26" s="66" t="str">
        <f aca="false">IF($E26="","",IF($E26="Kritis",1,IF($E26="Mayor",3,7)))</f>
        <v/>
      </c>
      <c r="H26" s="67" t="str">
        <f aca="false">IF($G26="","",IF('Lembar Ronde'!$C$7="","isi tanggal ronde",'Lembar Ronde'!$C$7+$G26))</f>
        <v/>
      </c>
      <c r="I26" s="28"/>
      <c r="J26" s="41"/>
      <c r="K26" s="28"/>
    </row>
    <row r="27" customFormat="false" ht="27.75" hidden="false" customHeight="true" outlineLevel="0" collapsed="false">
      <c r="B27" s="46" t="n">
        <v>22</v>
      </c>
      <c r="C27" s="46" t="str">
        <f aca="false">IFERROR(INDEX('Lembar Ronde'!$A$27:$A$83,MATCH($B27,'Lembar Ronde'!$H$27:$H$83,0)),"")</f>
        <v/>
      </c>
      <c r="D27" s="64" t="str">
        <f aca="false">IFERROR(INDEX('Lembar Ronde'!$B$27:$B$83,MATCH($B27,'Lembar Ronde'!$H$27:$H$83,0)),"")</f>
        <v/>
      </c>
      <c r="E27" s="65" t="str">
        <f aca="false">IFERROR(INDEX('Lembar Ronde'!$C$27:$C$83,MATCH($B27,'Lembar Ronde'!$H$27:$H$83,0)),"")</f>
        <v/>
      </c>
      <c r="F27" s="64" t="str">
        <f aca="false">IFERROR(INDEX('Lembar Ronde'!$E$27:$E$83,MATCH($B27,'Lembar Ronde'!$H$27:$H$83,0)),"")</f>
        <v/>
      </c>
      <c r="G27" s="66" t="str">
        <f aca="false">IF($E27="","",IF($E27="Kritis",1,IF($E27="Mayor",3,7)))</f>
        <v/>
      </c>
      <c r="H27" s="67" t="str">
        <f aca="false">IF($G27="","",IF('Lembar Ronde'!$C$7="","isi tanggal ronde",'Lembar Ronde'!$C$7+$G27))</f>
        <v/>
      </c>
      <c r="I27" s="28"/>
      <c r="J27" s="41"/>
      <c r="K27" s="28"/>
    </row>
    <row r="28" customFormat="false" ht="27.75" hidden="false" customHeight="true" outlineLevel="0" collapsed="false">
      <c r="B28" s="46" t="n">
        <v>23</v>
      </c>
      <c r="C28" s="46" t="str">
        <f aca="false">IFERROR(INDEX('Lembar Ronde'!$A$27:$A$83,MATCH($B28,'Lembar Ronde'!$H$27:$H$83,0)),"")</f>
        <v/>
      </c>
      <c r="D28" s="64" t="str">
        <f aca="false">IFERROR(INDEX('Lembar Ronde'!$B$27:$B$83,MATCH($B28,'Lembar Ronde'!$H$27:$H$83,0)),"")</f>
        <v/>
      </c>
      <c r="E28" s="65" t="str">
        <f aca="false">IFERROR(INDEX('Lembar Ronde'!$C$27:$C$83,MATCH($B28,'Lembar Ronde'!$H$27:$H$83,0)),"")</f>
        <v/>
      </c>
      <c r="F28" s="64" t="str">
        <f aca="false">IFERROR(INDEX('Lembar Ronde'!$E$27:$E$83,MATCH($B28,'Lembar Ronde'!$H$27:$H$83,0)),"")</f>
        <v/>
      </c>
      <c r="G28" s="66" t="str">
        <f aca="false">IF($E28="","",IF($E28="Kritis",1,IF($E28="Mayor",3,7)))</f>
        <v/>
      </c>
      <c r="H28" s="67" t="str">
        <f aca="false">IF($G28="","",IF('Lembar Ronde'!$C$7="","isi tanggal ronde",'Lembar Ronde'!$C$7+$G28))</f>
        <v/>
      </c>
      <c r="I28" s="28"/>
      <c r="J28" s="41"/>
      <c r="K28" s="28"/>
    </row>
    <row r="29" customFormat="false" ht="27.75" hidden="false" customHeight="true" outlineLevel="0" collapsed="false">
      <c r="B29" s="46" t="n">
        <v>24</v>
      </c>
      <c r="C29" s="46" t="str">
        <f aca="false">IFERROR(INDEX('Lembar Ronde'!$A$27:$A$83,MATCH($B29,'Lembar Ronde'!$H$27:$H$83,0)),"")</f>
        <v/>
      </c>
      <c r="D29" s="64" t="str">
        <f aca="false">IFERROR(INDEX('Lembar Ronde'!$B$27:$B$83,MATCH($B29,'Lembar Ronde'!$H$27:$H$83,0)),"")</f>
        <v/>
      </c>
      <c r="E29" s="65" t="str">
        <f aca="false">IFERROR(INDEX('Lembar Ronde'!$C$27:$C$83,MATCH($B29,'Lembar Ronde'!$H$27:$H$83,0)),"")</f>
        <v/>
      </c>
      <c r="F29" s="64" t="str">
        <f aca="false">IFERROR(INDEX('Lembar Ronde'!$E$27:$E$83,MATCH($B29,'Lembar Ronde'!$H$27:$H$83,0)),"")</f>
        <v/>
      </c>
      <c r="G29" s="66" t="str">
        <f aca="false">IF($E29="","",IF($E29="Kritis",1,IF($E29="Mayor",3,7)))</f>
        <v/>
      </c>
      <c r="H29" s="67" t="str">
        <f aca="false">IF($G29="","",IF('Lembar Ronde'!$C$7="","isi tanggal ronde",'Lembar Ronde'!$C$7+$G29))</f>
        <v/>
      </c>
      <c r="I29" s="28"/>
      <c r="J29" s="41"/>
      <c r="K29" s="28"/>
    </row>
    <row r="30" customFormat="false" ht="27.75" hidden="false" customHeight="true" outlineLevel="0" collapsed="false">
      <c r="B30" s="46" t="n">
        <v>25</v>
      </c>
      <c r="C30" s="46" t="str">
        <f aca="false">IFERROR(INDEX('Lembar Ronde'!$A$27:$A$83,MATCH($B30,'Lembar Ronde'!$H$27:$H$83,0)),"")</f>
        <v/>
      </c>
      <c r="D30" s="64" t="str">
        <f aca="false">IFERROR(INDEX('Lembar Ronde'!$B$27:$B$83,MATCH($B30,'Lembar Ronde'!$H$27:$H$83,0)),"")</f>
        <v/>
      </c>
      <c r="E30" s="65" t="str">
        <f aca="false">IFERROR(INDEX('Lembar Ronde'!$C$27:$C$83,MATCH($B30,'Lembar Ronde'!$H$27:$H$83,0)),"")</f>
        <v/>
      </c>
      <c r="F30" s="64" t="str">
        <f aca="false">IFERROR(INDEX('Lembar Ronde'!$E$27:$E$83,MATCH($B30,'Lembar Ronde'!$H$27:$H$83,0)),"")</f>
        <v/>
      </c>
      <c r="G30" s="66" t="str">
        <f aca="false">IF($E30="","",IF($E30="Kritis",1,IF($E30="Mayor",3,7)))</f>
        <v/>
      </c>
      <c r="H30" s="67" t="str">
        <f aca="false">IF($G30="","",IF('Lembar Ronde'!$C$7="","isi tanggal ronde",'Lembar Ronde'!$C$7+$G30))</f>
        <v/>
      </c>
      <c r="I30" s="28"/>
      <c r="J30" s="41"/>
      <c r="K30" s="28"/>
    </row>
    <row r="31" customFormat="false" ht="27.75" hidden="false" customHeight="true" outlineLevel="0" collapsed="false">
      <c r="B31" s="46" t="n">
        <v>26</v>
      </c>
      <c r="C31" s="46" t="str">
        <f aca="false">IFERROR(INDEX('Lembar Ronde'!$A$27:$A$83,MATCH($B31,'Lembar Ronde'!$H$27:$H$83,0)),"")</f>
        <v/>
      </c>
      <c r="D31" s="64" t="str">
        <f aca="false">IFERROR(INDEX('Lembar Ronde'!$B$27:$B$83,MATCH($B31,'Lembar Ronde'!$H$27:$H$83,0)),"")</f>
        <v/>
      </c>
      <c r="E31" s="65" t="str">
        <f aca="false">IFERROR(INDEX('Lembar Ronde'!$C$27:$C$83,MATCH($B31,'Lembar Ronde'!$H$27:$H$83,0)),"")</f>
        <v/>
      </c>
      <c r="F31" s="64" t="str">
        <f aca="false">IFERROR(INDEX('Lembar Ronde'!$E$27:$E$83,MATCH($B31,'Lembar Ronde'!$H$27:$H$83,0)),"")</f>
        <v/>
      </c>
      <c r="G31" s="66" t="str">
        <f aca="false">IF($E31="","",IF($E31="Kritis",1,IF($E31="Mayor",3,7)))</f>
        <v/>
      </c>
      <c r="H31" s="67" t="str">
        <f aca="false">IF($G31="","",IF('Lembar Ronde'!$C$7="","isi tanggal ronde",'Lembar Ronde'!$C$7+$G31))</f>
        <v/>
      </c>
      <c r="I31" s="28"/>
      <c r="J31" s="41"/>
      <c r="K31" s="28"/>
    </row>
    <row r="32" customFormat="false" ht="27.75" hidden="false" customHeight="true" outlineLevel="0" collapsed="false">
      <c r="B32" s="46" t="n">
        <v>27</v>
      </c>
      <c r="C32" s="46" t="str">
        <f aca="false">IFERROR(INDEX('Lembar Ronde'!$A$27:$A$83,MATCH($B32,'Lembar Ronde'!$H$27:$H$83,0)),"")</f>
        <v/>
      </c>
      <c r="D32" s="64" t="str">
        <f aca="false">IFERROR(INDEX('Lembar Ronde'!$B$27:$B$83,MATCH($B32,'Lembar Ronde'!$H$27:$H$83,0)),"")</f>
        <v/>
      </c>
      <c r="E32" s="65" t="str">
        <f aca="false">IFERROR(INDEX('Lembar Ronde'!$C$27:$C$83,MATCH($B32,'Lembar Ronde'!$H$27:$H$83,0)),"")</f>
        <v/>
      </c>
      <c r="F32" s="64" t="str">
        <f aca="false">IFERROR(INDEX('Lembar Ronde'!$E$27:$E$83,MATCH($B32,'Lembar Ronde'!$H$27:$H$83,0)),"")</f>
        <v/>
      </c>
      <c r="G32" s="66" t="str">
        <f aca="false">IF($E32="","",IF($E32="Kritis",1,IF($E32="Mayor",3,7)))</f>
        <v/>
      </c>
      <c r="H32" s="67" t="str">
        <f aca="false">IF($G32="","",IF('Lembar Ronde'!$C$7="","isi tanggal ronde",'Lembar Ronde'!$C$7+$G32))</f>
        <v/>
      </c>
      <c r="I32" s="28"/>
      <c r="J32" s="41"/>
      <c r="K32" s="28"/>
    </row>
    <row r="33" customFormat="false" ht="27.75" hidden="false" customHeight="true" outlineLevel="0" collapsed="false">
      <c r="B33" s="46" t="n">
        <v>28</v>
      </c>
      <c r="C33" s="46" t="str">
        <f aca="false">IFERROR(INDEX('Lembar Ronde'!$A$27:$A$83,MATCH($B33,'Lembar Ronde'!$H$27:$H$83,0)),"")</f>
        <v/>
      </c>
      <c r="D33" s="64" t="str">
        <f aca="false">IFERROR(INDEX('Lembar Ronde'!$B$27:$B$83,MATCH($B33,'Lembar Ronde'!$H$27:$H$83,0)),"")</f>
        <v/>
      </c>
      <c r="E33" s="65" t="str">
        <f aca="false">IFERROR(INDEX('Lembar Ronde'!$C$27:$C$83,MATCH($B33,'Lembar Ronde'!$H$27:$H$83,0)),"")</f>
        <v/>
      </c>
      <c r="F33" s="64" t="str">
        <f aca="false">IFERROR(INDEX('Lembar Ronde'!$E$27:$E$83,MATCH($B33,'Lembar Ronde'!$H$27:$H$83,0)),"")</f>
        <v/>
      </c>
      <c r="G33" s="66" t="str">
        <f aca="false">IF($E33="","",IF($E33="Kritis",1,IF($E33="Mayor",3,7)))</f>
        <v/>
      </c>
      <c r="H33" s="67" t="str">
        <f aca="false">IF($G33="","",IF('Lembar Ronde'!$C$7="","isi tanggal ronde",'Lembar Ronde'!$C$7+$G33))</f>
        <v/>
      </c>
      <c r="I33" s="28"/>
      <c r="J33" s="41"/>
      <c r="K33" s="28"/>
    </row>
    <row r="34" customFormat="false" ht="27.75" hidden="false" customHeight="true" outlineLevel="0" collapsed="false">
      <c r="B34" s="46" t="n">
        <v>29</v>
      </c>
      <c r="C34" s="46" t="str">
        <f aca="false">IFERROR(INDEX('Lembar Ronde'!$A$27:$A$83,MATCH($B34,'Lembar Ronde'!$H$27:$H$83,0)),"")</f>
        <v/>
      </c>
      <c r="D34" s="64" t="str">
        <f aca="false">IFERROR(INDEX('Lembar Ronde'!$B$27:$B$83,MATCH($B34,'Lembar Ronde'!$H$27:$H$83,0)),"")</f>
        <v/>
      </c>
      <c r="E34" s="65" t="str">
        <f aca="false">IFERROR(INDEX('Lembar Ronde'!$C$27:$C$83,MATCH($B34,'Lembar Ronde'!$H$27:$H$83,0)),"")</f>
        <v/>
      </c>
      <c r="F34" s="64" t="str">
        <f aca="false">IFERROR(INDEX('Lembar Ronde'!$E$27:$E$83,MATCH($B34,'Lembar Ronde'!$H$27:$H$83,0)),"")</f>
        <v/>
      </c>
      <c r="G34" s="66" t="str">
        <f aca="false">IF($E34="","",IF($E34="Kritis",1,IF($E34="Mayor",3,7)))</f>
        <v/>
      </c>
      <c r="H34" s="67" t="str">
        <f aca="false">IF($G34="","",IF('Lembar Ronde'!$C$7="","isi tanggal ronde",'Lembar Ronde'!$C$7+$G34))</f>
        <v/>
      </c>
      <c r="I34" s="28"/>
      <c r="J34" s="41"/>
      <c r="K34" s="28"/>
    </row>
    <row r="35" customFormat="false" ht="27.75" hidden="false" customHeight="true" outlineLevel="0" collapsed="false">
      <c r="B35" s="46" t="n">
        <v>30</v>
      </c>
      <c r="C35" s="46" t="str">
        <f aca="false">IFERROR(INDEX('Lembar Ronde'!$A$27:$A$83,MATCH($B35,'Lembar Ronde'!$H$27:$H$83,0)),"")</f>
        <v/>
      </c>
      <c r="D35" s="64" t="str">
        <f aca="false">IFERROR(INDEX('Lembar Ronde'!$B$27:$B$83,MATCH($B35,'Lembar Ronde'!$H$27:$H$83,0)),"")</f>
        <v/>
      </c>
      <c r="E35" s="65" t="str">
        <f aca="false">IFERROR(INDEX('Lembar Ronde'!$C$27:$C$83,MATCH($B35,'Lembar Ronde'!$H$27:$H$83,0)),"")</f>
        <v/>
      </c>
      <c r="F35" s="64" t="str">
        <f aca="false">IFERROR(INDEX('Lembar Ronde'!$E$27:$E$83,MATCH($B35,'Lembar Ronde'!$H$27:$H$83,0)),"")</f>
        <v/>
      </c>
      <c r="G35" s="66" t="str">
        <f aca="false">IF($E35="","",IF($E35="Kritis",1,IF($E35="Mayor",3,7)))</f>
        <v/>
      </c>
      <c r="H35" s="67" t="str">
        <f aca="false">IF($G35="","",IF('Lembar Ronde'!$C$7="","isi tanggal ronde",'Lembar Ronde'!$C$7+$G35))</f>
        <v/>
      </c>
      <c r="I35" s="28"/>
      <c r="J35" s="41"/>
      <c r="K35" s="28"/>
    </row>
    <row r="37" customFormat="false" ht="15" hidden="false" customHeight="true" outlineLevel="0" collapsed="false">
      <c r="B37" s="63" t="s">
        <v>263</v>
      </c>
      <c r="C37" s="63"/>
      <c r="D37" s="63"/>
      <c r="E37" s="63"/>
      <c r="F37" s="63"/>
      <c r="G37" s="63"/>
      <c r="H37" s="63"/>
      <c r="I37" s="63"/>
      <c r="J37" s="63"/>
      <c r="K37" s="63"/>
    </row>
    <row r="39" customFormat="false" ht="15" hidden="false" customHeight="false" outlineLevel="0" collapsed="false">
      <c r="B39" s="55" t="s">
        <v>264</v>
      </c>
      <c r="F39" s="55" t="s">
        <v>265</v>
      </c>
      <c r="I39" s="55" t="s">
        <v>266</v>
      </c>
    </row>
    <row r="43" customFormat="false" ht="15" hidden="false" customHeight="false" outlineLevel="0" collapsed="false">
      <c r="B43" s="56" t="s">
        <v>235</v>
      </c>
      <c r="F43" s="56" t="s">
        <v>235</v>
      </c>
      <c r="I43" s="56" t="s">
        <v>235</v>
      </c>
    </row>
    <row r="44" customFormat="false" ht="15" hidden="false" customHeight="false" outlineLevel="0" collapsed="false">
      <c r="B44" s="57" t="s">
        <v>236</v>
      </c>
      <c r="F44" s="57" t="s">
        <v>238</v>
      </c>
      <c r="I44" s="57" t="s">
        <v>237</v>
      </c>
    </row>
  </sheetData>
  <mergeCells count="3">
    <mergeCell ref="B2:K2"/>
    <mergeCell ref="B3:K3"/>
    <mergeCell ref="B37:K37"/>
  </mergeCells>
  <conditionalFormatting sqref="B6:K35">
    <cfRule type="expression" priority="2" aboveAverage="0" equalAverage="0" bottom="0" percent="0" rank="0" text="" dxfId="11">
      <formula>$D6=""</formula>
    </cfRule>
  </conditionalFormatting>
  <conditionalFormatting sqref="E6:E35">
    <cfRule type="cellIs" priority="3" operator="equal" aboveAverage="0" equalAverage="0" bottom="0" percent="0" rank="0" text="" dxfId="12">
      <formula>"Kritis"</formula>
    </cfRule>
  </conditionalFormatting>
  <conditionalFormatting sqref="J6:J35">
    <cfRule type="cellIs" priority="4" operator="equal" aboveAverage="0" equalAverage="0" bottom="0" percent="0" rank="0" text="" dxfId="13">
      <formula>"Selesai"</formula>
    </cfRule>
  </conditionalFormatting>
  <dataValidations count="1">
    <dataValidation allowBlank="true" errorStyle="stop" operator="between" showDropDown="false" showErrorMessage="false" showInputMessage="false" sqref="J6:J35" type="list">
      <formula1>"Terbuka,Proses,Selesai"</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J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2"/>
    <col collapsed="false" customWidth="true" hidden="false" outlineLevel="0" max="3" min="3" style="0" width="24"/>
    <col collapsed="false" customWidth="true" hidden="false" outlineLevel="0" max="4" min="4" style="0" width="26"/>
    <col collapsed="false" customWidth="true" hidden="false" outlineLevel="0" max="6" min="5" style="0" width="8"/>
    <col collapsed="false" customWidth="true" hidden="false" outlineLevel="0" max="7" min="7" style="0" width="10"/>
    <col collapsed="false" customWidth="true" hidden="false" outlineLevel="0" max="8" min="8" style="0" width="12"/>
    <col collapsed="false" customWidth="true" hidden="false" outlineLevel="0" max="9" min="9" style="0" width="18"/>
    <col collapsed="false" customWidth="true" hidden="false" outlineLevel="0" max="10" min="10" style="0" width="34"/>
  </cols>
  <sheetData>
    <row r="2" customFormat="false" ht="25.5" hidden="false" customHeight="true" outlineLevel="0" collapsed="false">
      <c r="B2" s="1" t="s">
        <v>267</v>
      </c>
      <c r="C2" s="1"/>
      <c r="D2" s="1"/>
      <c r="E2" s="1"/>
      <c r="F2" s="1"/>
      <c r="G2" s="1"/>
      <c r="H2" s="1"/>
      <c r="I2" s="1"/>
      <c r="J2" s="1"/>
    </row>
    <row r="3" customFormat="false" ht="18" hidden="false" customHeight="true" outlineLevel="0" collapsed="false">
      <c r="B3" s="2" t="s">
        <v>268</v>
      </c>
      <c r="C3" s="2"/>
      <c r="D3" s="2"/>
      <c r="E3" s="2"/>
      <c r="F3" s="2"/>
      <c r="G3" s="2"/>
      <c r="H3" s="2"/>
      <c r="I3" s="2"/>
      <c r="J3" s="2"/>
    </row>
    <row r="5" customFormat="false" ht="15" hidden="false" customHeight="false" outlineLevel="0" collapsed="false">
      <c r="B5" s="33" t="s">
        <v>269</v>
      </c>
      <c r="C5" s="33" t="s">
        <v>270</v>
      </c>
      <c r="D5" s="33" t="s">
        <v>271</v>
      </c>
      <c r="E5" s="33" t="s">
        <v>272</v>
      </c>
      <c r="F5" s="33" t="s">
        <v>273</v>
      </c>
      <c r="G5" s="33" t="s">
        <v>113</v>
      </c>
      <c r="H5" s="33" t="s">
        <v>245</v>
      </c>
      <c r="I5" s="33" t="s">
        <v>44</v>
      </c>
      <c r="J5" s="33" t="s">
        <v>274</v>
      </c>
    </row>
    <row r="6" customFormat="false" ht="15" hidden="false" customHeight="false" outlineLevel="0" collapsed="false">
      <c r="B6" s="68" t="n">
        <f aca="false">'Lembar Ronde'!$C$7</f>
        <v>0</v>
      </c>
      <c r="C6" s="69" t="n">
        <f aca="false">'Lembar Ronde'!$C$5</f>
        <v>0</v>
      </c>
      <c r="D6" s="69" t="n">
        <f aca="false">'Lembar Ronde'!$C$6</f>
        <v>0</v>
      </c>
      <c r="E6" s="70" t="str">
        <f aca="false">LEFT('Lembar Ronde'!$C$9,1)</f>
        <v/>
      </c>
      <c r="F6" s="70" t="str">
        <f aca="false">'Lembar Ronde'!$C$11</f>
        <v/>
      </c>
      <c r="G6" s="71" t="str">
        <f aca="false">'Lembar Ronde'!$C$88</f>
        <v/>
      </c>
      <c r="H6" s="72" t="n">
        <f aca="false">'Lembar Ronde'!$C$90</f>
        <v>0</v>
      </c>
      <c r="I6" s="69" t="str">
        <f aca="false">'Lembar Ronde'!$C$94</f>
        <v>Belum dinilai</v>
      </c>
      <c r="J6" s="73" t="s">
        <v>275</v>
      </c>
    </row>
    <row r="7" customFormat="false" ht="15" hidden="false" customHeight="false" outlineLevel="0" collapsed="false">
      <c r="B7" s="74" t="n">
        <v>46268</v>
      </c>
      <c r="C7" s="75" t="s">
        <v>276</v>
      </c>
      <c r="D7" s="75" t="s">
        <v>277</v>
      </c>
      <c r="E7" s="76" t="s">
        <v>278</v>
      </c>
      <c r="F7" s="76" t="s">
        <v>279</v>
      </c>
      <c r="G7" s="77" t="n">
        <v>0.82</v>
      </c>
      <c r="H7" s="76" t="n">
        <v>1</v>
      </c>
      <c r="I7" s="75" t="s">
        <v>53</v>
      </c>
      <c r="J7" s="75" t="s">
        <v>280</v>
      </c>
    </row>
    <row r="8" customFormat="false" ht="15" hidden="false" customHeight="false" outlineLevel="0" collapsed="false">
      <c r="B8" s="74"/>
      <c r="C8" s="75"/>
      <c r="D8" s="75"/>
      <c r="E8" s="76"/>
      <c r="F8" s="76"/>
      <c r="G8" s="77"/>
      <c r="H8" s="76"/>
      <c r="I8" s="75"/>
      <c r="J8" s="75"/>
    </row>
    <row r="9" customFormat="false" ht="15" hidden="false" customHeight="false" outlineLevel="0" collapsed="false">
      <c r="B9" s="74"/>
      <c r="C9" s="75"/>
      <c r="D9" s="75"/>
      <c r="E9" s="76"/>
      <c r="F9" s="76"/>
      <c r="G9" s="77"/>
      <c r="H9" s="76"/>
      <c r="I9" s="75"/>
      <c r="J9" s="75"/>
    </row>
    <row r="10" customFormat="false" ht="15" hidden="false" customHeight="false" outlineLevel="0" collapsed="false">
      <c r="B10" s="74"/>
      <c r="C10" s="75"/>
      <c r="D10" s="75"/>
      <c r="E10" s="76"/>
      <c r="F10" s="76"/>
      <c r="G10" s="77"/>
      <c r="H10" s="76"/>
      <c r="I10" s="75"/>
      <c r="J10" s="75"/>
    </row>
    <row r="11" customFormat="false" ht="15" hidden="false" customHeight="false" outlineLevel="0" collapsed="false">
      <c r="B11" s="74"/>
      <c r="C11" s="75"/>
      <c r="D11" s="75"/>
      <c r="E11" s="76"/>
      <c r="F11" s="76"/>
      <c r="G11" s="77"/>
      <c r="H11" s="76"/>
      <c r="I11" s="75"/>
      <c r="J11" s="75"/>
    </row>
    <row r="12" customFormat="false" ht="15" hidden="false" customHeight="false" outlineLevel="0" collapsed="false">
      <c r="B12" s="74"/>
      <c r="C12" s="75"/>
      <c r="D12" s="75"/>
      <c r="E12" s="76"/>
      <c r="F12" s="76"/>
      <c r="G12" s="77"/>
      <c r="H12" s="76"/>
      <c r="I12" s="75"/>
      <c r="J12" s="75"/>
    </row>
    <row r="13" customFormat="false" ht="15" hidden="false" customHeight="false" outlineLevel="0" collapsed="false">
      <c r="B13" s="74"/>
      <c r="C13" s="75"/>
      <c r="D13" s="75"/>
      <c r="E13" s="76"/>
      <c r="F13" s="76"/>
      <c r="G13" s="77"/>
      <c r="H13" s="76"/>
      <c r="I13" s="75"/>
      <c r="J13" s="75"/>
    </row>
    <row r="14" customFormat="false" ht="15" hidden="false" customHeight="false" outlineLevel="0" collapsed="false">
      <c r="B14" s="74"/>
      <c r="C14" s="75"/>
      <c r="D14" s="75"/>
      <c r="E14" s="76"/>
      <c r="F14" s="76"/>
      <c r="G14" s="77"/>
      <c r="H14" s="76"/>
      <c r="I14" s="75"/>
      <c r="J14" s="75"/>
    </row>
    <row r="15" customFormat="false" ht="15" hidden="false" customHeight="false" outlineLevel="0" collapsed="false">
      <c r="B15" s="74"/>
      <c r="C15" s="75"/>
      <c r="D15" s="75"/>
      <c r="E15" s="76"/>
      <c r="F15" s="76"/>
      <c r="G15" s="77"/>
      <c r="H15" s="76"/>
      <c r="I15" s="75"/>
      <c r="J15" s="75"/>
    </row>
    <row r="16" customFormat="false" ht="15" hidden="false" customHeight="false" outlineLevel="0" collapsed="false">
      <c r="B16" s="74"/>
      <c r="C16" s="75"/>
      <c r="D16" s="75"/>
      <c r="E16" s="76"/>
      <c r="F16" s="76"/>
      <c r="G16" s="77"/>
      <c r="H16" s="76"/>
      <c r="I16" s="75"/>
      <c r="J16" s="75"/>
    </row>
    <row r="17" customFormat="false" ht="15" hidden="false" customHeight="false" outlineLevel="0" collapsed="false">
      <c r="B17" s="74"/>
      <c r="C17" s="75"/>
      <c r="D17" s="75"/>
      <c r="E17" s="76"/>
      <c r="F17" s="76"/>
      <c r="G17" s="77"/>
      <c r="H17" s="76"/>
      <c r="I17" s="75"/>
      <c r="J17" s="75"/>
    </row>
    <row r="18" customFormat="false" ht="15" hidden="false" customHeight="false" outlineLevel="0" collapsed="false">
      <c r="B18" s="74"/>
      <c r="C18" s="75"/>
      <c r="D18" s="75"/>
      <c r="E18" s="76"/>
      <c r="F18" s="76"/>
      <c r="G18" s="77"/>
      <c r="H18" s="76"/>
      <c r="I18" s="75"/>
      <c r="J18" s="75"/>
    </row>
    <row r="19" customFormat="false" ht="15" hidden="false" customHeight="false" outlineLevel="0" collapsed="false">
      <c r="B19" s="74"/>
      <c r="C19" s="75"/>
      <c r="D19" s="75"/>
      <c r="E19" s="76"/>
      <c r="F19" s="76"/>
      <c r="G19" s="77"/>
      <c r="H19" s="76"/>
      <c r="I19" s="75"/>
      <c r="J19" s="75"/>
    </row>
    <row r="20" customFormat="false" ht="15" hidden="false" customHeight="false" outlineLevel="0" collapsed="false">
      <c r="B20" s="74"/>
      <c r="C20" s="75"/>
      <c r="D20" s="75"/>
      <c r="E20" s="76"/>
      <c r="F20" s="76"/>
      <c r="G20" s="77"/>
      <c r="H20" s="76"/>
      <c r="I20" s="75"/>
      <c r="J20" s="75"/>
    </row>
    <row r="21" customFormat="false" ht="15" hidden="false" customHeight="false" outlineLevel="0" collapsed="false">
      <c r="B21" s="74"/>
      <c r="C21" s="75"/>
      <c r="D21" s="75"/>
      <c r="E21" s="76"/>
      <c r="F21" s="76"/>
      <c r="G21" s="77"/>
      <c r="H21" s="76"/>
      <c r="I21" s="75"/>
      <c r="J21" s="75"/>
    </row>
    <row r="22" customFormat="false" ht="15" hidden="false" customHeight="false" outlineLevel="0" collapsed="false">
      <c r="B22" s="74"/>
      <c r="C22" s="75"/>
      <c r="D22" s="75"/>
      <c r="E22" s="76"/>
      <c r="F22" s="76"/>
      <c r="G22" s="77"/>
      <c r="H22" s="76"/>
      <c r="I22" s="75"/>
      <c r="J22" s="75"/>
    </row>
    <row r="23" customFormat="false" ht="15" hidden="false" customHeight="false" outlineLevel="0" collapsed="false">
      <c r="B23" s="74"/>
      <c r="C23" s="75"/>
      <c r="D23" s="75"/>
      <c r="E23" s="76"/>
      <c r="F23" s="76"/>
      <c r="G23" s="77"/>
      <c r="H23" s="76"/>
      <c r="I23" s="75"/>
      <c r="J23" s="75"/>
    </row>
    <row r="24" customFormat="false" ht="15" hidden="false" customHeight="false" outlineLevel="0" collapsed="false">
      <c r="B24" s="74"/>
      <c r="C24" s="75"/>
      <c r="D24" s="75"/>
      <c r="E24" s="76"/>
      <c r="F24" s="76"/>
      <c r="G24" s="77"/>
      <c r="H24" s="76"/>
      <c r="I24" s="75"/>
      <c r="J24" s="75"/>
    </row>
    <row r="25" customFormat="false" ht="15" hidden="false" customHeight="false" outlineLevel="0" collapsed="false">
      <c r="B25" s="74"/>
      <c r="C25" s="75"/>
      <c r="D25" s="75"/>
      <c r="E25" s="76"/>
      <c r="F25" s="76"/>
      <c r="G25" s="77"/>
      <c r="H25" s="76"/>
      <c r="I25" s="75"/>
      <c r="J25" s="75"/>
    </row>
    <row r="26" customFormat="false" ht="15" hidden="false" customHeight="false" outlineLevel="0" collapsed="false">
      <c r="B26" s="74"/>
      <c r="C26" s="75"/>
      <c r="D26" s="75"/>
      <c r="E26" s="76"/>
      <c r="F26" s="76"/>
      <c r="G26" s="77"/>
      <c r="H26" s="76"/>
      <c r="I26" s="75"/>
      <c r="J26" s="75"/>
    </row>
    <row r="27" customFormat="false" ht="15" hidden="false" customHeight="false" outlineLevel="0" collapsed="false">
      <c r="B27" s="74"/>
      <c r="C27" s="75"/>
      <c r="D27" s="75"/>
      <c r="E27" s="76"/>
      <c r="F27" s="76"/>
      <c r="G27" s="77"/>
      <c r="H27" s="76"/>
      <c r="I27" s="75"/>
      <c r="J27" s="75"/>
    </row>
    <row r="28" customFormat="false" ht="15" hidden="false" customHeight="false" outlineLevel="0" collapsed="false">
      <c r="B28" s="74"/>
      <c r="C28" s="75"/>
      <c r="D28" s="75"/>
      <c r="E28" s="76"/>
      <c r="F28" s="76"/>
      <c r="G28" s="77"/>
      <c r="H28" s="76"/>
      <c r="I28" s="75"/>
      <c r="J28" s="75"/>
    </row>
    <row r="29" customFormat="false" ht="15" hidden="false" customHeight="false" outlineLevel="0" collapsed="false">
      <c r="B29" s="74"/>
      <c r="C29" s="75"/>
      <c r="D29" s="75"/>
      <c r="E29" s="76"/>
      <c r="F29" s="76"/>
      <c r="G29" s="77"/>
      <c r="H29" s="76"/>
      <c r="I29" s="75"/>
      <c r="J29" s="75"/>
    </row>
    <row r="30" customFormat="false" ht="15" hidden="false" customHeight="false" outlineLevel="0" collapsed="false">
      <c r="B30" s="74"/>
      <c r="C30" s="75"/>
      <c r="D30" s="75"/>
      <c r="E30" s="76"/>
      <c r="F30" s="76"/>
      <c r="G30" s="77"/>
      <c r="H30" s="76"/>
      <c r="I30" s="75"/>
      <c r="J30" s="75"/>
    </row>
    <row r="31" customFormat="false" ht="15" hidden="false" customHeight="false" outlineLevel="0" collapsed="false">
      <c r="B31" s="74"/>
      <c r="C31" s="75"/>
      <c r="D31" s="75"/>
      <c r="E31" s="76"/>
      <c r="F31" s="76"/>
      <c r="G31" s="77"/>
      <c r="H31" s="76"/>
      <c r="I31" s="75"/>
      <c r="J31" s="75"/>
    </row>
    <row r="32" customFormat="false" ht="15" hidden="false" customHeight="true" outlineLevel="0" collapsed="false">
      <c r="B32" s="63" t="s">
        <v>281</v>
      </c>
      <c r="C32" s="63"/>
      <c r="D32" s="63"/>
      <c r="E32" s="63"/>
      <c r="F32" s="63"/>
      <c r="G32" s="63"/>
      <c r="H32" s="63"/>
      <c r="I32" s="63"/>
      <c r="J32" s="63"/>
    </row>
  </sheetData>
  <mergeCells count="3">
    <mergeCell ref="B2:J2"/>
    <mergeCell ref="B3:J3"/>
    <mergeCell ref="B32:J3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F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46"/>
    <col collapsed="false" customWidth="true" hidden="false" outlineLevel="0" max="6" min="3" style="0" width="13"/>
    <col collapsed="false" customWidth="true" hidden="false" outlineLevel="0" max="7" min="7" style="0" width="3"/>
  </cols>
  <sheetData>
    <row r="2" customFormat="false" ht="25.5" hidden="false" customHeight="true" outlineLevel="0" collapsed="false">
      <c r="A2" s="1" t="s">
        <v>282</v>
      </c>
      <c r="B2" s="1"/>
      <c r="C2" s="1"/>
      <c r="D2" s="1"/>
      <c r="E2" s="1"/>
      <c r="F2" s="1"/>
    </row>
    <row r="3" customFormat="false" ht="18" hidden="false" customHeight="true" outlineLevel="0" collapsed="false">
      <c r="A3" s="2" t="s">
        <v>283</v>
      </c>
      <c r="B3" s="2"/>
      <c r="C3" s="2"/>
      <c r="D3" s="2"/>
      <c r="E3" s="2"/>
      <c r="F3" s="2"/>
    </row>
    <row r="5" customFormat="false" ht="15" hidden="false" customHeight="false" outlineLevel="0" collapsed="false">
      <c r="A5" s="33" t="s">
        <v>284</v>
      </c>
      <c r="B5" s="78" t="s">
        <v>285</v>
      </c>
      <c r="C5" s="79" t="s">
        <v>286</v>
      </c>
      <c r="D5" s="79" t="s">
        <v>287</v>
      </c>
      <c r="E5" s="79" t="s">
        <v>278</v>
      </c>
      <c r="F5" s="79" t="s">
        <v>288</v>
      </c>
    </row>
    <row r="6" customFormat="false" ht="19.5" hidden="false" customHeight="true" outlineLevel="0" collapsed="false">
      <c r="A6" s="80" t="s">
        <v>5</v>
      </c>
      <c r="B6" s="81" t="s">
        <v>289</v>
      </c>
      <c r="C6" s="82" t="s">
        <v>290</v>
      </c>
      <c r="D6" s="82" t="s">
        <v>291</v>
      </c>
      <c r="E6" s="82" t="s">
        <v>291</v>
      </c>
      <c r="F6" s="82" t="s">
        <v>292</v>
      </c>
    </row>
    <row r="7" customFormat="false" ht="19.5" hidden="false" customHeight="true" outlineLevel="0" collapsed="false">
      <c r="A7" s="80" t="s">
        <v>7</v>
      </c>
      <c r="B7" s="81" t="s">
        <v>293</v>
      </c>
      <c r="C7" s="82" t="s">
        <v>290</v>
      </c>
      <c r="D7" s="82" t="s">
        <v>291</v>
      </c>
      <c r="E7" s="82" t="s">
        <v>279</v>
      </c>
      <c r="F7" s="82" t="s">
        <v>294</v>
      </c>
    </row>
    <row r="8" customFormat="false" ht="19.5" hidden="false" customHeight="true" outlineLevel="0" collapsed="false">
      <c r="A8" s="80" t="s">
        <v>9</v>
      </c>
      <c r="B8" s="81" t="s">
        <v>295</v>
      </c>
      <c r="C8" s="82" t="s">
        <v>290</v>
      </c>
      <c r="D8" s="82" t="s">
        <v>279</v>
      </c>
      <c r="E8" s="82" t="s">
        <v>292</v>
      </c>
      <c r="F8" s="82" t="s">
        <v>294</v>
      </c>
    </row>
    <row r="9" customFormat="false" ht="19.5" hidden="false" customHeight="true" outlineLevel="0" collapsed="false">
      <c r="A9" s="80" t="s">
        <v>11</v>
      </c>
      <c r="B9" s="81" t="s">
        <v>296</v>
      </c>
      <c r="C9" s="82" t="s">
        <v>279</v>
      </c>
      <c r="D9" s="82" t="s">
        <v>292</v>
      </c>
      <c r="E9" s="82" t="s">
        <v>292</v>
      </c>
      <c r="F9" s="82" t="s">
        <v>294</v>
      </c>
    </row>
    <row r="11" customFormat="false" ht="19.5" hidden="false" customHeight="true" outlineLevel="0" collapsed="false">
      <c r="B11" s="3" t="s">
        <v>297</v>
      </c>
      <c r="C11" s="3"/>
      <c r="D11" s="3"/>
      <c r="E11" s="3"/>
      <c r="F11" s="3"/>
    </row>
    <row r="12" customFormat="false" ht="27.75" hidden="false" customHeight="true" outlineLevel="0" collapsed="false">
      <c r="B12" s="80" t="s">
        <v>286</v>
      </c>
      <c r="C12" s="15" t="s">
        <v>298</v>
      </c>
      <c r="D12" s="15"/>
      <c r="E12" s="15"/>
      <c r="F12" s="15"/>
    </row>
    <row r="13" customFormat="false" ht="27.75" hidden="false" customHeight="true" outlineLevel="0" collapsed="false">
      <c r="B13" s="80" t="s">
        <v>287</v>
      </c>
      <c r="C13" s="15" t="s">
        <v>299</v>
      </c>
      <c r="D13" s="15"/>
      <c r="E13" s="15"/>
      <c r="F13" s="15"/>
    </row>
    <row r="14" customFormat="false" ht="27.75" hidden="false" customHeight="true" outlineLevel="0" collapsed="false">
      <c r="B14" s="80" t="s">
        <v>278</v>
      </c>
      <c r="C14" s="15" t="s">
        <v>300</v>
      </c>
      <c r="D14" s="15"/>
      <c r="E14" s="15"/>
      <c r="F14" s="15"/>
    </row>
    <row r="15" customFormat="false" ht="27.75" hidden="false" customHeight="true" outlineLevel="0" collapsed="false">
      <c r="B15" s="80" t="s">
        <v>288</v>
      </c>
      <c r="C15" s="15" t="s">
        <v>301</v>
      </c>
      <c r="D15" s="15"/>
      <c r="E15" s="15"/>
      <c r="F15" s="15"/>
    </row>
    <row r="17" customFormat="false" ht="19.5" hidden="false" customHeight="true" outlineLevel="0" collapsed="false">
      <c r="B17" s="3" t="s">
        <v>302</v>
      </c>
      <c r="C17" s="3"/>
      <c r="D17" s="3"/>
      <c r="E17" s="3"/>
      <c r="F17" s="3"/>
    </row>
    <row r="18" customFormat="false" ht="31.5" hidden="false" customHeight="true" outlineLevel="0" collapsed="false">
      <c r="B18" s="80" t="s">
        <v>290</v>
      </c>
      <c r="C18" s="15" t="s">
        <v>303</v>
      </c>
      <c r="D18" s="15"/>
      <c r="E18" s="15"/>
      <c r="F18" s="15"/>
    </row>
    <row r="19" customFormat="false" ht="31.5" hidden="false" customHeight="true" outlineLevel="0" collapsed="false">
      <c r="B19" s="80" t="s">
        <v>291</v>
      </c>
      <c r="C19" s="15" t="s">
        <v>304</v>
      </c>
      <c r="D19" s="15"/>
      <c r="E19" s="15"/>
      <c r="F19" s="15"/>
    </row>
    <row r="20" customFormat="false" ht="31.5" hidden="false" customHeight="true" outlineLevel="0" collapsed="false">
      <c r="B20" s="80" t="s">
        <v>279</v>
      </c>
      <c r="C20" s="15" t="s">
        <v>305</v>
      </c>
      <c r="D20" s="15"/>
      <c r="E20" s="15"/>
      <c r="F20" s="15"/>
    </row>
    <row r="21" customFormat="false" ht="31.5" hidden="false" customHeight="true" outlineLevel="0" collapsed="false">
      <c r="B21" s="80" t="s">
        <v>294</v>
      </c>
      <c r="C21" s="15" t="s">
        <v>306</v>
      </c>
      <c r="D21" s="15"/>
      <c r="E21" s="15"/>
      <c r="F21" s="15"/>
    </row>
    <row r="23" customFormat="false" ht="39" hidden="false" customHeight="true" outlineLevel="0" collapsed="false">
      <c r="B23" s="30" t="s">
        <v>307</v>
      </c>
      <c r="C23" s="30"/>
      <c r="D23" s="30"/>
      <c r="E23" s="30"/>
      <c r="F23" s="30"/>
    </row>
  </sheetData>
  <mergeCells count="13">
    <mergeCell ref="A2:F2"/>
    <mergeCell ref="A3:F3"/>
    <mergeCell ref="B11:F11"/>
    <mergeCell ref="C12:F12"/>
    <mergeCell ref="C13:F13"/>
    <mergeCell ref="C14:F14"/>
    <mergeCell ref="C15:F15"/>
    <mergeCell ref="B17:F17"/>
    <mergeCell ref="C18:F18"/>
    <mergeCell ref="C19:F19"/>
    <mergeCell ref="C20:F20"/>
    <mergeCell ref="C21:F21"/>
    <mergeCell ref="B23:F23"/>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96"/>
  </cols>
  <sheetData>
    <row r="2" customFormat="false" ht="25.5" hidden="false" customHeight="true" outlineLevel="0" collapsed="false">
      <c r="B2" s="1" t="s">
        <v>308</v>
      </c>
      <c r="C2" s="1"/>
    </row>
    <row r="3" customFormat="false" ht="18" hidden="false" customHeight="true" outlineLevel="0" collapsed="false">
      <c r="B3" s="2" t="s">
        <v>309</v>
      </c>
      <c r="C3" s="2"/>
    </row>
    <row r="5" customFormat="false" ht="19.5" hidden="false" customHeight="true" outlineLevel="0" collapsed="false">
      <c r="B5" s="3" t="s">
        <v>310</v>
      </c>
      <c r="C5" s="3"/>
    </row>
    <row r="6" customFormat="false" ht="51.75" hidden="false" customHeight="true" outlineLevel="0" collapsed="false">
      <c r="B6" s="83" t="s">
        <v>311</v>
      </c>
      <c r="C6" s="15" t="s">
        <v>312</v>
      </c>
    </row>
    <row r="7" customFormat="false" ht="39" hidden="false" customHeight="true" outlineLevel="0" collapsed="false">
      <c r="B7" s="83" t="s">
        <v>313</v>
      </c>
      <c r="C7" s="15" t="s">
        <v>314</v>
      </c>
    </row>
    <row r="8" customFormat="false" ht="39" hidden="false" customHeight="true" outlineLevel="0" collapsed="false">
      <c r="B8" s="83" t="s">
        <v>315</v>
      </c>
      <c r="C8" s="15" t="s">
        <v>316</v>
      </c>
    </row>
    <row r="9" customFormat="false" ht="25.5" hidden="false" customHeight="true" outlineLevel="0" collapsed="false">
      <c r="B9" s="83" t="s">
        <v>317</v>
      </c>
      <c r="C9" s="15" t="s">
        <v>318</v>
      </c>
    </row>
    <row r="10" customFormat="false" ht="39" hidden="false" customHeight="true" outlineLevel="0" collapsed="false">
      <c r="B10" s="83" t="s">
        <v>319</v>
      </c>
      <c r="C10" s="15" t="s">
        <v>320</v>
      </c>
    </row>
    <row r="11" customFormat="false" ht="25.5" hidden="false" customHeight="true" outlineLevel="0" collapsed="false">
      <c r="B11" s="83" t="s">
        <v>321</v>
      </c>
      <c r="C11" s="15" t="s">
        <v>322</v>
      </c>
    </row>
    <row r="13" customFormat="false" ht="19.5" hidden="false" customHeight="true" outlineLevel="0" collapsed="false">
      <c r="B13" s="3" t="s">
        <v>323</v>
      </c>
      <c r="C13" s="3"/>
    </row>
    <row r="14" customFormat="false" ht="25.5" hidden="false" customHeight="true" outlineLevel="0" collapsed="false">
      <c r="B14" s="83" t="s">
        <v>324</v>
      </c>
      <c r="C14" s="15" t="s">
        <v>325</v>
      </c>
    </row>
    <row r="15" customFormat="false" ht="39" hidden="false" customHeight="true" outlineLevel="0" collapsed="false">
      <c r="B15" s="83" t="s">
        <v>326</v>
      </c>
      <c r="C15" s="15" t="s">
        <v>327</v>
      </c>
    </row>
    <row r="16" customFormat="false" ht="39" hidden="false" customHeight="true" outlineLevel="0" collapsed="false">
      <c r="B16" s="83" t="s">
        <v>328</v>
      </c>
      <c r="C16" s="15" t="s">
        <v>329</v>
      </c>
    </row>
    <row r="17" customFormat="false" ht="39" hidden="false" customHeight="true" outlineLevel="0" collapsed="false">
      <c r="B17" s="83" t="s">
        <v>330</v>
      </c>
      <c r="C17" s="15" t="s">
        <v>331</v>
      </c>
    </row>
    <row r="18" customFormat="false" ht="39" hidden="false" customHeight="true" outlineLevel="0" collapsed="false">
      <c r="B18" s="83" t="s">
        <v>332</v>
      </c>
      <c r="C18" s="15" t="s">
        <v>333</v>
      </c>
    </row>
    <row r="19" customFormat="false" ht="39" hidden="false" customHeight="true" outlineLevel="0" collapsed="false">
      <c r="B19" s="83" t="s">
        <v>334</v>
      </c>
      <c r="C19" s="15" t="s">
        <v>335</v>
      </c>
    </row>
    <row r="21" customFormat="false" ht="42" hidden="false" customHeight="true" outlineLevel="0" collapsed="false">
      <c r="B21" s="63" t="s">
        <v>336</v>
      </c>
      <c r="C21" s="63"/>
    </row>
  </sheetData>
  <mergeCells count="5">
    <mergeCell ref="B2:C2"/>
    <mergeCell ref="B3:C3"/>
    <mergeCell ref="B5:C5"/>
    <mergeCell ref="B13:C13"/>
    <mergeCell ref="B21:C21"/>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2026-09-17T12:34:57Z</dcterms:created>
  <dc:creator>openpyxl</dc:creator>
  <dc:description/>
  <dc:language>en-US</dc:language>
  <cp:lastModifiedBy/>
  <dcterms:modified xsi:type="dcterms:W3CDTF">2026-09-17T12:34:59Z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